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ate1904="1" filterPrivacy="1" showInkAnnotation="0" autoCompressPictures="0"/>
  <xr:revisionPtr revIDLastSave="0" documentId="13_ncr:1_{31A9BEF8-31FA-4B6B-A9C3-1224E3D65970}" xr6:coauthVersionLast="43" xr6:coauthVersionMax="43" xr10:uidLastSave="{00000000-0000-0000-0000-000000000000}"/>
  <bookViews>
    <workbookView xWindow="-120" yWindow="-120" windowWidth="20730" windowHeight="11760" tabRatio="500" xr2:uid="{00000000-000D-0000-FFFF-FFFF00000000}"/>
  </bookViews>
  <sheets>
    <sheet name="Menu" sheetId="1" r:id="rId1"/>
    <sheet name="Projeções" sheetId="7" r:id="rId2"/>
  </sheets>
  <definedNames>
    <definedName name="_xlnm.Print_Area" localSheetId="1">Projeções!$A$4:$L$219</definedName>
    <definedName name="Area2" localSheetId="1">#REF!</definedName>
    <definedName name="Area2">#REF!</definedName>
    <definedName name="Area22" localSheetId="1">#REF!</definedName>
    <definedName name="Area22">#REF!</definedName>
    <definedName name="Excel_BuiltIn_Print_Area_1" localSheetId="1">#REF!</definedName>
    <definedName name="Excel_BuiltIn_Print_Area_1">#REF!</definedName>
    <definedName name="Print_Area2">#REF!</definedName>
    <definedName name="printarea4">#REF!</definedName>
    <definedName name="_xlnm.Print_Titles" localSheetId="1">Projeções!$4:$7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61" i="7" l="1"/>
  <c r="B162" i="7"/>
  <c r="B163" i="7"/>
  <c r="B164" i="7"/>
  <c r="B159" i="7"/>
  <c r="B158" i="7"/>
  <c r="B157" i="7"/>
  <c r="B193" i="7" l="1"/>
  <c r="B172" i="7"/>
  <c r="B153" i="7"/>
  <c r="B120" i="7"/>
  <c r="B97" i="7"/>
  <c r="B69" i="7"/>
  <c r="B21" i="7"/>
  <c r="B9" i="7"/>
  <c r="B37" i="7"/>
  <c r="K5" i="7"/>
  <c r="G40" i="7"/>
  <c r="H40" i="7"/>
  <c r="I40" i="7"/>
  <c r="J40" i="7"/>
  <c r="K40" i="7"/>
  <c r="H45" i="7"/>
  <c r="I45" i="7"/>
  <c r="J45" i="7"/>
  <c r="K45" i="7"/>
  <c r="K44" i="7"/>
  <c r="K50" i="7"/>
  <c r="K51" i="7"/>
  <c r="K54" i="7"/>
  <c r="K55" i="7"/>
  <c r="K127" i="7"/>
  <c r="G63" i="7"/>
  <c r="G128" i="7" s="1"/>
  <c r="H63" i="7"/>
  <c r="I63" i="7" s="1"/>
  <c r="K75" i="7"/>
  <c r="K129" i="7"/>
  <c r="J25" i="7"/>
  <c r="K25" i="7"/>
  <c r="K76" i="7" s="1"/>
  <c r="J44" i="7"/>
  <c r="J43" i="7"/>
  <c r="J26" i="7"/>
  <c r="K77" i="7" s="1"/>
  <c r="K43" i="7"/>
  <c r="K26" i="7"/>
  <c r="K30" i="7"/>
  <c r="J30" i="7"/>
  <c r="K100" i="7"/>
  <c r="K82" i="7"/>
  <c r="K83" i="7"/>
  <c r="K131" i="7"/>
  <c r="K133" i="7"/>
  <c r="J50" i="7"/>
  <c r="J51" i="7"/>
  <c r="F117" i="7"/>
  <c r="F115" i="7"/>
  <c r="F102" i="7"/>
  <c r="C107" i="7"/>
  <c r="G107" i="7"/>
  <c r="H107" i="7"/>
  <c r="I107" i="7"/>
  <c r="J107" i="7"/>
  <c r="C108" i="7"/>
  <c r="H108" i="7"/>
  <c r="I108" i="7"/>
  <c r="J108" i="7"/>
  <c r="C109" i="7"/>
  <c r="I109" i="7"/>
  <c r="J109" i="7"/>
  <c r="C110" i="7"/>
  <c r="J110" i="7"/>
  <c r="J113" i="7"/>
  <c r="J54" i="7"/>
  <c r="J55" i="7"/>
  <c r="J127" i="7"/>
  <c r="J75" i="7"/>
  <c r="J129" i="7"/>
  <c r="I25" i="7"/>
  <c r="J76" i="7"/>
  <c r="I44" i="7"/>
  <c r="I43" i="7"/>
  <c r="I26" i="7"/>
  <c r="J77" i="7"/>
  <c r="I30" i="7"/>
  <c r="I210" i="7" s="1"/>
  <c r="J82" i="7"/>
  <c r="J83" i="7"/>
  <c r="J131" i="7"/>
  <c r="I50" i="7"/>
  <c r="I51" i="7"/>
  <c r="I113" i="7"/>
  <c r="I54" i="7"/>
  <c r="I55" i="7"/>
  <c r="I127" i="7"/>
  <c r="I75" i="7"/>
  <c r="I129" i="7"/>
  <c r="H25" i="7"/>
  <c r="H201" i="7" s="1"/>
  <c r="H44" i="7"/>
  <c r="H43" i="7"/>
  <c r="H26" i="7"/>
  <c r="I77" i="7" s="1"/>
  <c r="H30" i="7"/>
  <c r="I82" i="7"/>
  <c r="I83" i="7"/>
  <c r="I131" i="7"/>
  <c r="H50" i="7"/>
  <c r="H51" i="7"/>
  <c r="H113" i="7"/>
  <c r="H54" i="7"/>
  <c r="H55" i="7"/>
  <c r="H127" i="7"/>
  <c r="H75" i="7"/>
  <c r="H129" i="7"/>
  <c r="G25" i="7"/>
  <c r="H76" i="7" s="1"/>
  <c r="G44" i="7"/>
  <c r="G43" i="7"/>
  <c r="G26" i="7"/>
  <c r="G202" i="7" s="1"/>
  <c r="G30" i="7"/>
  <c r="H82" i="7"/>
  <c r="H83" i="7"/>
  <c r="H131" i="7"/>
  <c r="G47" i="7"/>
  <c r="G48" i="7"/>
  <c r="G50" i="7"/>
  <c r="G51" i="7"/>
  <c r="G113" i="7"/>
  <c r="G54" i="7"/>
  <c r="G55" i="7"/>
  <c r="G127" i="7"/>
  <c r="G75" i="7"/>
  <c r="G129" i="7"/>
  <c r="G77" i="7"/>
  <c r="G82" i="7"/>
  <c r="G83" i="7"/>
  <c r="G131" i="7"/>
  <c r="C132" i="7"/>
  <c r="B174" i="7"/>
  <c r="G38" i="7"/>
  <c r="F38" i="7" s="1"/>
  <c r="H38" i="7"/>
  <c r="I38" i="7" s="1"/>
  <c r="E206" i="7"/>
  <c r="F206" i="7"/>
  <c r="G206" i="7"/>
  <c r="H206" i="7"/>
  <c r="I206" i="7"/>
  <c r="J206" i="7"/>
  <c r="K206" i="7"/>
  <c r="D50" i="7"/>
  <c r="E50" i="7"/>
  <c r="F50" i="7"/>
  <c r="C65" i="7"/>
  <c r="D44" i="7"/>
  <c r="D51" i="7"/>
  <c r="D55" i="7"/>
  <c r="D60" i="7"/>
  <c r="D65" i="7"/>
  <c r="E44" i="7"/>
  <c r="E51" i="7"/>
  <c r="E55" i="7"/>
  <c r="E60" i="7"/>
  <c r="E65" i="7"/>
  <c r="F44" i="7"/>
  <c r="F51" i="7"/>
  <c r="F55" i="7"/>
  <c r="F60" i="7"/>
  <c r="F65" i="7"/>
  <c r="G58" i="7"/>
  <c r="G60" i="7"/>
  <c r="G64" i="7"/>
  <c r="G65" i="7" s="1"/>
  <c r="H31" i="7"/>
  <c r="H58" i="7"/>
  <c r="H74" i="7" s="1"/>
  <c r="I31" i="7"/>
  <c r="I58" i="7"/>
  <c r="I60" i="7" s="1"/>
  <c r="J31" i="7"/>
  <c r="J58" i="7"/>
  <c r="J60" i="7"/>
  <c r="J61" i="7" s="1"/>
  <c r="K31" i="7"/>
  <c r="K58" i="7"/>
  <c r="K60" i="7" s="1"/>
  <c r="K61" i="7" s="1"/>
  <c r="D66" i="7"/>
  <c r="E66" i="7"/>
  <c r="F66" i="7"/>
  <c r="E100" i="7"/>
  <c r="E82" i="7"/>
  <c r="F100" i="7"/>
  <c r="F82" i="7"/>
  <c r="D196" i="7"/>
  <c r="E196" i="7"/>
  <c r="F196" i="7"/>
  <c r="G196" i="7"/>
  <c r="H196" i="7"/>
  <c r="I196" i="7"/>
  <c r="J196" i="7"/>
  <c r="K196" i="7"/>
  <c r="D156" i="7"/>
  <c r="G138" i="7"/>
  <c r="H138" i="7" s="1"/>
  <c r="I138" i="7" s="1"/>
  <c r="J138" i="7" s="1"/>
  <c r="K138" i="7" s="1"/>
  <c r="D157" i="7"/>
  <c r="F73" i="7"/>
  <c r="F74" i="7"/>
  <c r="F75" i="7"/>
  <c r="F76" i="7"/>
  <c r="F77" i="7"/>
  <c r="F78" i="7"/>
  <c r="F79" i="7"/>
  <c r="F83" i="7"/>
  <c r="F86" i="7"/>
  <c r="F87" i="7"/>
  <c r="F90" i="7"/>
  <c r="F92" i="7" s="1"/>
  <c r="F95" i="7" s="1"/>
  <c r="E73" i="7"/>
  <c r="E74" i="7"/>
  <c r="E75" i="7"/>
  <c r="E76" i="7"/>
  <c r="E77" i="7"/>
  <c r="E78" i="7"/>
  <c r="E79" i="7"/>
  <c r="E83" i="7"/>
  <c r="E86" i="7"/>
  <c r="E87" i="7"/>
  <c r="E90" i="7"/>
  <c r="E92" i="7" s="1"/>
  <c r="E95" i="7" s="1"/>
  <c r="F94" i="7" s="1"/>
  <c r="E94" i="7"/>
  <c r="D158" i="7"/>
  <c r="E158" i="7"/>
  <c r="D159" i="7"/>
  <c r="F144" i="7"/>
  <c r="G74" i="7"/>
  <c r="G86" i="7"/>
  <c r="G90" i="7" s="1"/>
  <c r="G87" i="7"/>
  <c r="G102" i="7"/>
  <c r="G115" i="7"/>
  <c r="G117" i="7"/>
  <c r="G27" i="7"/>
  <c r="H87" i="7"/>
  <c r="H90" i="7" s="1"/>
  <c r="H102" i="7"/>
  <c r="H115" i="7"/>
  <c r="H117" i="7"/>
  <c r="H27" i="7"/>
  <c r="I74" i="7"/>
  <c r="I87" i="7" s="1"/>
  <c r="I102" i="7"/>
  <c r="I115" i="7"/>
  <c r="I117" i="7"/>
  <c r="I27" i="7"/>
  <c r="J74" i="7"/>
  <c r="J87" i="7" s="1"/>
  <c r="J102" i="7"/>
  <c r="J115" i="7"/>
  <c r="J117" i="7"/>
  <c r="J27" i="7"/>
  <c r="K74" i="7"/>
  <c r="K87" i="7"/>
  <c r="K90" i="7" s="1"/>
  <c r="K102" i="7"/>
  <c r="K115" i="7"/>
  <c r="K117" i="7"/>
  <c r="K27" i="7"/>
  <c r="D198" i="7"/>
  <c r="D28" i="7"/>
  <c r="D32" i="7"/>
  <c r="C32" i="7"/>
  <c r="D208" i="7" s="1"/>
  <c r="H59" i="7"/>
  <c r="I59" i="7"/>
  <c r="J59" i="7"/>
  <c r="K59" i="7"/>
  <c r="C130" i="7"/>
  <c r="C144" i="7"/>
  <c r="C143" i="7"/>
  <c r="E210" i="7"/>
  <c r="F210" i="7"/>
  <c r="C140" i="7"/>
  <c r="C139" i="7"/>
  <c r="E63" i="7"/>
  <c r="D63" i="7"/>
  <c r="F63" i="7"/>
  <c r="K107" i="7"/>
  <c r="K108" i="7"/>
  <c r="K109" i="7"/>
  <c r="K110" i="7"/>
  <c r="C111" i="7"/>
  <c r="K111" i="7"/>
  <c r="D200" i="7"/>
  <c r="C145" i="7"/>
  <c r="F45" i="7"/>
  <c r="D210" i="7"/>
  <c r="D52" i="7"/>
  <c r="D205" i="7"/>
  <c r="D209" i="7"/>
  <c r="F52" i="7"/>
  <c r="F205" i="7"/>
  <c r="E52" i="7"/>
  <c r="E205" i="7"/>
  <c r="F41" i="7"/>
  <c r="E41" i="7"/>
  <c r="E198" i="7"/>
  <c r="D203" i="7"/>
  <c r="D202" i="7"/>
  <c r="D201" i="7"/>
  <c r="E203" i="7"/>
  <c r="E202" i="7"/>
  <c r="E201" i="7"/>
  <c r="F203" i="7"/>
  <c r="F202" i="7"/>
  <c r="F201" i="7"/>
  <c r="D33" i="7"/>
  <c r="D34" i="7"/>
  <c r="D61" i="7"/>
  <c r="D56" i="7"/>
  <c r="D45" i="7"/>
  <c r="E61" i="7"/>
  <c r="E56" i="7"/>
  <c r="E45" i="7"/>
  <c r="J201" i="7"/>
  <c r="I201" i="7"/>
  <c r="C210" i="7"/>
  <c r="C40" i="7"/>
  <c r="F198" i="7"/>
  <c r="F61" i="7"/>
  <c r="F56" i="7"/>
  <c r="C49" i="7"/>
  <c r="C48" i="7"/>
  <c r="G194" i="7"/>
  <c r="G70" i="7"/>
  <c r="G22" i="7"/>
  <c r="C89" i="7"/>
  <c r="C133" i="7"/>
  <c r="C134" i="7"/>
  <c r="C131" i="7"/>
  <c r="C129" i="7"/>
  <c r="C128" i="7"/>
  <c r="C127" i="7"/>
  <c r="C47" i="7"/>
  <c r="C95" i="7"/>
  <c r="C92" i="7"/>
  <c r="C90" i="7"/>
  <c r="C94" i="7"/>
  <c r="C88" i="7"/>
  <c r="C87" i="7"/>
  <c r="C86" i="7"/>
  <c r="C83" i="7"/>
  <c r="C82" i="7"/>
  <c r="C79" i="7"/>
  <c r="C78" i="7"/>
  <c r="C77" i="7"/>
  <c r="C76" i="7"/>
  <c r="C75" i="7"/>
  <c r="C74" i="7"/>
  <c r="C73" i="7"/>
  <c r="C33" i="7"/>
  <c r="C28" i="7"/>
  <c r="C31" i="7"/>
  <c r="C30" i="7"/>
  <c r="C27" i="7"/>
  <c r="C26" i="7"/>
  <c r="C25" i="7"/>
  <c r="C24" i="7"/>
  <c r="C43" i="7"/>
  <c r="C64" i="7"/>
  <c r="C60" i="7"/>
  <c r="C58" i="7"/>
  <c r="C55" i="7"/>
  <c r="C54" i="7"/>
  <c r="C51" i="7"/>
  <c r="C50" i="7"/>
  <c r="C44" i="7"/>
  <c r="C117" i="7"/>
  <c r="C115" i="7"/>
  <c r="C113" i="7"/>
  <c r="C102" i="7"/>
  <c r="C100" i="7"/>
  <c r="B5" i="7"/>
  <c r="K6" i="7"/>
  <c r="C142" i="7"/>
  <c r="G56" i="7"/>
  <c r="G61" i="7"/>
  <c r="G52" i="7"/>
  <c r="G205" i="7"/>
  <c r="G198" i="7"/>
  <c r="G203" i="7"/>
  <c r="K52" i="7"/>
  <c r="K205" i="7"/>
  <c r="K56" i="7"/>
  <c r="J52" i="7"/>
  <c r="J205" i="7"/>
  <c r="J56" i="7"/>
  <c r="I56" i="7"/>
  <c r="I52" i="7"/>
  <c r="I205" i="7"/>
  <c r="I198" i="7"/>
  <c r="J198" i="7"/>
  <c r="K198" i="7"/>
  <c r="I202" i="7"/>
  <c r="J202" i="7"/>
  <c r="K202" i="7"/>
  <c r="K203" i="7"/>
  <c r="H56" i="7"/>
  <c r="H52" i="7"/>
  <c r="H205" i="7"/>
  <c r="H198" i="7"/>
  <c r="H202" i="7"/>
  <c r="H60" i="7" l="1"/>
  <c r="G76" i="7"/>
  <c r="J78" i="7"/>
  <c r="J210" i="7"/>
  <c r="G201" i="7"/>
  <c r="G210" i="7"/>
  <c r="G207" i="7" s="1"/>
  <c r="H78" i="7"/>
  <c r="I121" i="7"/>
  <c r="J38" i="7"/>
  <c r="I194" i="7"/>
  <c r="I70" i="7"/>
  <c r="I22" i="7"/>
  <c r="I98" i="7"/>
  <c r="F98" i="7"/>
  <c r="F194" i="7"/>
  <c r="E194" i="7" s="1"/>
  <c r="D194" i="7" s="1"/>
  <c r="F70" i="7"/>
  <c r="E70" i="7" s="1"/>
  <c r="D70" i="7" s="1"/>
  <c r="E38" i="7"/>
  <c r="D38" i="7" s="1"/>
  <c r="F22" i="7"/>
  <c r="E22" i="7" s="1"/>
  <c r="D22" i="7" s="1"/>
  <c r="F121" i="7"/>
  <c r="H22" i="7"/>
  <c r="H194" i="7"/>
  <c r="H77" i="7"/>
  <c r="H128" i="7"/>
  <c r="H121" i="7"/>
  <c r="G98" i="7"/>
  <c r="B108" i="7" s="1"/>
  <c r="B109" i="7" s="1"/>
  <c r="B110" i="7" s="1"/>
  <c r="B111" i="7" s="1"/>
  <c r="G78" i="7"/>
  <c r="G130" i="7" s="1"/>
  <c r="G132" i="7" s="1"/>
  <c r="G134" i="7" s="1"/>
  <c r="K78" i="7"/>
  <c r="K130" i="7" s="1"/>
  <c r="K210" i="7"/>
  <c r="H70" i="7"/>
  <c r="G121" i="7"/>
  <c r="K201" i="7"/>
  <c r="J130" i="7"/>
  <c r="J203" i="7"/>
  <c r="I203" i="7"/>
  <c r="H98" i="7"/>
  <c r="I78" i="7"/>
  <c r="I76" i="7"/>
  <c r="F24" i="7"/>
  <c r="G94" i="7"/>
  <c r="I128" i="7"/>
  <c r="J63" i="7"/>
  <c r="E24" i="7"/>
  <c r="G73" i="7"/>
  <c r="G66" i="7"/>
  <c r="J90" i="7"/>
  <c r="I90" i="7"/>
  <c r="I64" i="7"/>
  <c r="I65" i="7" s="1"/>
  <c r="I61" i="7"/>
  <c r="H203" i="7"/>
  <c r="H210" i="7"/>
  <c r="H207" i="7" s="1"/>
  <c r="H61" i="7"/>
  <c r="H64" i="7"/>
  <c r="H65" i="7" s="1"/>
  <c r="H130" i="7" l="1"/>
  <c r="I130" i="7"/>
  <c r="G79" i="7"/>
  <c r="G92" i="7" s="1"/>
  <c r="G95" i="7" s="1"/>
  <c r="B107" i="7"/>
  <c r="E98" i="7"/>
  <c r="D98" i="7" s="1"/>
  <c r="J194" i="7"/>
  <c r="J70" i="7"/>
  <c r="J22" i="7"/>
  <c r="J98" i="7"/>
  <c r="K38" i="7"/>
  <c r="J121" i="7"/>
  <c r="H132" i="7"/>
  <c r="H134" i="7" s="1"/>
  <c r="G197" i="7"/>
  <c r="G139" i="7"/>
  <c r="H66" i="7"/>
  <c r="H73" i="7"/>
  <c r="H79" i="7" s="1"/>
  <c r="H92" i="7" s="1"/>
  <c r="I73" i="7"/>
  <c r="I79" i="7" s="1"/>
  <c r="I92" i="7" s="1"/>
  <c r="I66" i="7"/>
  <c r="E28" i="7"/>
  <c r="E200" i="7"/>
  <c r="J128" i="7"/>
  <c r="K63" i="7"/>
  <c r="J64" i="7"/>
  <c r="J65" i="7" s="1"/>
  <c r="H94" i="7"/>
  <c r="G24" i="7"/>
  <c r="I132" i="7"/>
  <c r="I134" i="7" s="1"/>
  <c r="I207" i="7"/>
  <c r="F143" i="7"/>
  <c r="F28" i="7"/>
  <c r="E157" i="7"/>
  <c r="F200" i="7"/>
  <c r="K22" i="7" l="1"/>
  <c r="K194" i="7"/>
  <c r="K121" i="7"/>
  <c r="K98" i="7"/>
  <c r="K70" i="7"/>
  <c r="H95" i="7"/>
  <c r="I94" i="7" s="1"/>
  <c r="I95" i="7" s="1"/>
  <c r="H139" i="7"/>
  <c r="H197" i="7"/>
  <c r="I139" i="7"/>
  <c r="I197" i="7"/>
  <c r="K128" i="7"/>
  <c r="K64" i="7"/>
  <c r="K65" i="7" s="1"/>
  <c r="J132" i="7"/>
  <c r="J134" i="7" s="1"/>
  <c r="J207" i="7"/>
  <c r="F32" i="7"/>
  <c r="F209" i="7"/>
  <c r="G200" i="7"/>
  <c r="G28" i="7"/>
  <c r="J66" i="7"/>
  <c r="J73" i="7"/>
  <c r="J79" i="7" s="1"/>
  <c r="J92" i="7" s="1"/>
  <c r="E209" i="7"/>
  <c r="E32" i="7"/>
  <c r="H24" i="7" l="1"/>
  <c r="K66" i="7"/>
  <c r="K73" i="7"/>
  <c r="K79" i="7" s="1"/>
  <c r="K92" i="7" s="1"/>
  <c r="F33" i="7"/>
  <c r="F34" i="7" s="1"/>
  <c r="G32" i="7"/>
  <c r="G208" i="7" s="1"/>
  <c r="K132" i="7"/>
  <c r="K134" i="7" s="1"/>
  <c r="K207" i="7"/>
  <c r="E208" i="7"/>
  <c r="E33" i="7"/>
  <c r="E34" i="7" s="1"/>
  <c r="F208" i="7"/>
  <c r="G209" i="7"/>
  <c r="J94" i="7"/>
  <c r="J95" i="7" s="1"/>
  <c r="I24" i="7"/>
  <c r="H200" i="7"/>
  <c r="H28" i="7"/>
  <c r="J139" i="7"/>
  <c r="J197" i="7"/>
  <c r="I200" i="7" l="1"/>
  <c r="I28" i="7"/>
  <c r="K94" i="7"/>
  <c r="K95" i="7" s="1"/>
  <c r="K24" i="7" s="1"/>
  <c r="J24" i="7"/>
  <c r="K139" i="7"/>
  <c r="F140" i="7" s="1"/>
  <c r="F142" i="7" s="1"/>
  <c r="K197" i="7"/>
  <c r="H209" i="7"/>
  <c r="G33" i="7"/>
  <c r="G34" i="7" s="1"/>
  <c r="H32" i="7"/>
  <c r="H208" i="7"/>
  <c r="K200" i="7" l="1"/>
  <c r="K28" i="7"/>
  <c r="F145" i="7"/>
  <c r="E156" i="7"/>
  <c r="E159" i="7" s="1"/>
  <c r="F148" i="7"/>
  <c r="E162" i="7" s="1"/>
  <c r="I209" i="7"/>
  <c r="J200" i="7"/>
  <c r="J28" i="7"/>
  <c r="H33" i="7"/>
  <c r="H34" i="7" s="1"/>
  <c r="I32" i="7"/>
  <c r="K209" i="7" l="1"/>
  <c r="I33" i="7"/>
  <c r="I34" i="7" s="1"/>
  <c r="J32" i="7"/>
  <c r="J208" i="7" s="1"/>
  <c r="F150" i="7"/>
  <c r="E164" i="7" s="1"/>
  <c r="F149" i="7"/>
  <c r="E163" i="7" s="1"/>
  <c r="J209" i="7"/>
  <c r="I208" i="7"/>
  <c r="J33" i="7" l="1"/>
  <c r="J34" i="7" s="1"/>
  <c r="K32" i="7"/>
  <c r="K33" i="7" s="1"/>
  <c r="K34" i="7" s="1"/>
  <c r="E167" i="7" s="1"/>
  <c r="K208" i="7" l="1"/>
</calcChain>
</file>

<file path=xl/sharedStrings.xml><?xml version="1.0" encoding="utf-8"?>
<sst xmlns="http://schemas.openxmlformats.org/spreadsheetml/2006/main" count="177" uniqueCount="134">
  <si>
    <t>Key Financial Ratios</t>
    <phoneticPr fontId="8" type="noConversion"/>
  </si>
  <si>
    <t>Unit</t>
    <phoneticPr fontId="2" type="noConversion"/>
  </si>
  <si>
    <t>Years</t>
    <phoneticPr fontId="2" type="noConversion"/>
  </si>
  <si>
    <t>%</t>
    <phoneticPr fontId="2" type="noConversion"/>
  </si>
  <si>
    <t>Unit</t>
    <phoneticPr fontId="2" type="noConversion"/>
  </si>
  <si>
    <t>%</t>
    <phoneticPr fontId="2" type="noConversion"/>
  </si>
  <si>
    <t>EBT</t>
  </si>
  <si>
    <t>%</t>
    <phoneticPr fontId="2" type="noConversion"/>
  </si>
  <si>
    <t>EBIT</t>
    <phoneticPr fontId="2" type="noConversion"/>
  </si>
  <si>
    <t>x</t>
    <phoneticPr fontId="2" type="noConversion"/>
  </si>
  <si>
    <t>%</t>
    <phoneticPr fontId="2" type="noConversion"/>
  </si>
  <si>
    <t>ROIC</t>
    <phoneticPr fontId="2" type="noConversion"/>
  </si>
  <si>
    <t>ROE</t>
    <phoneticPr fontId="2" type="noConversion"/>
  </si>
  <si>
    <t>x</t>
    <phoneticPr fontId="2" type="noConversion"/>
  </si>
  <si>
    <t>NA</t>
    <phoneticPr fontId="2" type="noConversion"/>
  </si>
  <si>
    <t>x</t>
    <phoneticPr fontId="2" type="noConversion"/>
  </si>
  <si>
    <t>x</t>
    <phoneticPr fontId="2" type="noConversion"/>
  </si>
  <si>
    <t>Unit</t>
    <phoneticPr fontId="2" type="noConversion"/>
  </si>
  <si>
    <t>EBIT</t>
  </si>
  <si>
    <t>EBITDA</t>
  </si>
  <si>
    <t>Tax rate</t>
    <phoneticPr fontId="2" type="noConversion"/>
  </si>
  <si>
    <t>%</t>
    <phoneticPr fontId="2" type="noConversion"/>
  </si>
  <si>
    <t>Valuation Considerations</t>
    <phoneticPr fontId="0" type="noConversion"/>
  </si>
  <si>
    <t>x</t>
  </si>
  <si>
    <t>Years</t>
  </si>
  <si>
    <t>NA</t>
  </si>
  <si>
    <t>WACC</t>
  </si>
  <si>
    <t>%</t>
  </si>
  <si>
    <t>EV/EBITDA</t>
  </si>
  <si>
    <t>PE</t>
  </si>
  <si>
    <t>P/B</t>
  </si>
  <si>
    <t>Subtotal</t>
  </si>
  <si>
    <t>Financial Overview</t>
  </si>
  <si>
    <t>DCF Valuation</t>
  </si>
  <si>
    <t>Avaliação de Empresas</t>
  </si>
  <si>
    <t>Template de Modelagem Financeira</t>
  </si>
  <si>
    <t>Última Atualização</t>
  </si>
  <si>
    <r>
      <rPr>
        <sz val="14"/>
        <color rgb="FFFFFF00"/>
        <rFont val="Arial"/>
        <family val="2"/>
      </rPr>
      <t>Modelo de</t>
    </r>
    <r>
      <rPr>
        <sz val="14"/>
        <color indexed="12"/>
        <rFont val="Arial"/>
        <family val="2"/>
      </rPr>
      <t xml:space="preserve"> </t>
    </r>
    <r>
      <rPr>
        <sz val="14"/>
        <color rgb="FFFFFF00"/>
        <rFont val="Arial"/>
        <family val="2"/>
      </rPr>
      <t>Fluxo de Caixa Descontado</t>
    </r>
  </si>
  <si>
    <t>R$</t>
  </si>
  <si>
    <t>Premissas</t>
  </si>
  <si>
    <t>Premissas Gerais</t>
  </si>
  <si>
    <t>Moeda</t>
  </si>
  <si>
    <t>Primeiro ano de projeção</t>
  </si>
  <si>
    <t>Ano</t>
  </si>
  <si>
    <t>Dias de Vendas</t>
  </si>
  <si>
    <t>Dias de CPV</t>
  </si>
  <si>
    <t>Dias de recebimento</t>
  </si>
  <si>
    <t>Dias de estoque</t>
  </si>
  <si>
    <t>Dias de pagamentos</t>
  </si>
  <si>
    <t>Balanço Patrimonial</t>
  </si>
  <si>
    <t>Disponível</t>
  </si>
  <si>
    <t>Contas a Receber</t>
  </si>
  <si>
    <t>Estoque</t>
  </si>
  <si>
    <t>Ativo Permanente</t>
  </si>
  <si>
    <t>Total dos Ativos</t>
  </si>
  <si>
    <t>Contas a Pagar</t>
  </si>
  <si>
    <t>Financiamentos a pagar</t>
  </si>
  <si>
    <t>Patrimônio Líquido</t>
  </si>
  <si>
    <t>Total do Passivo e Patrimônio Líquido</t>
  </si>
  <si>
    <t>Demonstração dos Resultados</t>
  </si>
  <si>
    <t>Receitas Líquidas</t>
  </si>
  <si>
    <t>Taxa de Crescimento</t>
  </si>
  <si>
    <t>Custo dos Produtos Vendidos CPV</t>
  </si>
  <si>
    <t>Margem Bruta</t>
  </si>
  <si>
    <t>Taxa de  Juros</t>
  </si>
  <si>
    <t>Despesas Comerciais e Marketing</t>
  </si>
  <si>
    <t xml:space="preserve">Despesas Administrativas </t>
  </si>
  <si>
    <t>Outras Despesas Operacionais</t>
  </si>
  <si>
    <t>Despesas Operacionais</t>
  </si>
  <si>
    <t>Depreciação e Amortização</t>
  </si>
  <si>
    <t>Despesas Financeiras</t>
  </si>
  <si>
    <t>Taxa de Juros</t>
  </si>
  <si>
    <t>Lucro Líquido</t>
  </si>
  <si>
    <t>Aliquota de IR e CSLL</t>
  </si>
  <si>
    <t>Imposto de Renda e IRPJ</t>
  </si>
  <si>
    <t>Demonstração de Fluxo de Caixa DFC</t>
  </si>
  <si>
    <t>Fluxo de Caixa das Operações FCO</t>
  </si>
  <si>
    <t xml:space="preserve">(+) Despesas Financeiras </t>
  </si>
  <si>
    <t>(+) Depreciação e Amortização</t>
  </si>
  <si>
    <t>(+) Variação no Contas a Receber</t>
  </si>
  <si>
    <t>(+) Variação nos Estoques</t>
  </si>
  <si>
    <t>(+) Variação no Contas a Pagar</t>
  </si>
  <si>
    <t>(=) Fluxo de Caixa Operacional</t>
  </si>
  <si>
    <t>Fluxo de Caixa das Atividades de Investimento FCI</t>
  </si>
  <si>
    <t>(-) Investimentos</t>
  </si>
  <si>
    <t>(=) Fluxo de Caixa das Atividades de Investimentos FCI</t>
  </si>
  <si>
    <t>Fluxo de Caixa das Atividades de Financiamentos FCF</t>
  </si>
  <si>
    <t>(-) Juros sobre financiamentos</t>
  </si>
  <si>
    <t>(+) Pagamento de financiamentos</t>
  </si>
  <si>
    <t>(+) Novos Financiamentos</t>
  </si>
  <si>
    <t>(-) Pagamento de Dividendos</t>
  </si>
  <si>
    <t>(=) Fluxo de Caixa das Atividades de Financiamentos FCF</t>
  </si>
  <si>
    <t>Resultado de caixa no período</t>
  </si>
  <si>
    <t>Caixa Inicial</t>
  </si>
  <si>
    <t>Caixa final</t>
  </si>
  <si>
    <t>Ativos Fixos Tangíveis</t>
  </si>
  <si>
    <t>Despesas de Capital</t>
  </si>
  <si>
    <t>Ativo Fixo</t>
  </si>
  <si>
    <t>Período de Depreciação</t>
  </si>
  <si>
    <t>Depreciação</t>
  </si>
  <si>
    <t>Depreciação Acumulada</t>
  </si>
  <si>
    <t>Ativo Imobilizado líquido</t>
  </si>
  <si>
    <t>Multiplo do EV/EBITDA</t>
  </si>
  <si>
    <t>(-) Irpj e CSLL</t>
  </si>
  <si>
    <t>Variação da NCG</t>
  </si>
  <si>
    <t>Investimentos</t>
  </si>
  <si>
    <t>Perpetuidade</t>
  </si>
  <si>
    <t>Fluxo de Caixa Descontado (FDC)</t>
  </si>
  <si>
    <t>Fluxo de Caixa da Empresa (FCFF)</t>
  </si>
  <si>
    <t>Período de desconto</t>
  </si>
  <si>
    <t>Fator de Desconto</t>
  </si>
  <si>
    <t>Fluxo de Caixa Descontado</t>
  </si>
  <si>
    <t>Valor Presente Líquido</t>
  </si>
  <si>
    <t>Valor da Empresa</t>
  </si>
  <si>
    <t>Caixa e Equivalente de Caixa</t>
  </si>
  <si>
    <t>Financiamentos</t>
  </si>
  <si>
    <t>Valor do Acionista</t>
  </si>
  <si>
    <t>Múltiplos</t>
  </si>
  <si>
    <t>Checagem do Modelo</t>
  </si>
  <si>
    <t>Financiamentos/Ebtida</t>
  </si>
  <si>
    <t>Cobertura do serviço da divida</t>
  </si>
  <si>
    <t>EBIT/Juros</t>
  </si>
  <si>
    <t>Liquidez Corrente</t>
  </si>
  <si>
    <t>Prazo médio de recebimento</t>
  </si>
  <si>
    <t>Prazo médio dos estoques</t>
  </si>
  <si>
    <t>Prazo Médio Pagamento</t>
  </si>
  <si>
    <t>Dias de vendas</t>
  </si>
  <si>
    <t>Dias de custos</t>
  </si>
  <si>
    <t>Margem EBITDA</t>
  </si>
  <si>
    <t>Variação da receita</t>
  </si>
  <si>
    <t>Receitas/Ativos</t>
  </si>
  <si>
    <t>Capital Investido</t>
  </si>
  <si>
    <t>Checagem</t>
  </si>
  <si>
    <t>A Valini Consulting, fornece este modelo para análise e simulação, mas não assume qualquer responsabilidade por eventuais erros dentro do modelo nem omissões do mesmo. Todos os dados demonstrados são apenas exemplos. Cada modelo necessida ser ajustado à realidade de cada empresa, logo esta é uma responsabilidade do usuário da planilha.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</si>
</sst>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R$&quot;\ #,##0;[Red]\-&quot;R$&quot;\ #,##0"/>
    <numFmt numFmtId="164" formatCode="_(* #,##0.00_);_(* \(#,##0.00\);_(* &quot;-&quot;??_);_(@_)"/>
    <numFmt numFmtId="165" formatCode="0.0%"/>
    <numFmt numFmtId="166" formatCode="0.000"/>
    <numFmt numFmtId="167" formatCode="_(* #,##0_);_(* \(#,##0\);_(* &quot;-&quot;??_);_(@_)"/>
    <numFmt numFmtId="168" formatCode="[$$-409]#,##0"/>
    <numFmt numFmtId="169" formatCode="0000\ \F"/>
    <numFmt numFmtId="170" formatCode="0000\ \A"/>
    <numFmt numFmtId="171" formatCode="0.0\x"/>
    <numFmt numFmtId="172" formatCode="&quot;R$&quot;\ #,##0,;[Red]\-&quot;R$&quot;\ #,##0,"/>
  </numFmts>
  <fonts count="40" x14ac:knownFonts="1">
    <font>
      <sz val="10"/>
      <name val="Verdana"/>
    </font>
    <font>
      <sz val="10"/>
      <name val="Verdana"/>
    </font>
    <font>
      <sz val="8"/>
      <name val="Verdana"/>
    </font>
    <font>
      <sz val="10"/>
      <color indexed="8"/>
      <name val="Arial"/>
      <family val="2"/>
    </font>
    <font>
      <sz val="10"/>
      <color indexed="12"/>
      <name val="Arial"/>
      <family val="2"/>
    </font>
    <font>
      <u/>
      <sz val="10"/>
      <color indexed="12"/>
      <name val="Verdana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sz val="8"/>
      <name val="Calibri"/>
      <family val="2"/>
    </font>
    <font>
      <u/>
      <sz val="10"/>
      <color theme="11"/>
      <name val="Verdana"/>
    </font>
    <font>
      <sz val="20"/>
      <color indexed="9"/>
      <name val="Arial"/>
      <family val="2"/>
    </font>
    <font>
      <sz val="14"/>
      <color indexed="12"/>
      <name val="Arial"/>
      <family val="2"/>
    </font>
    <font>
      <sz val="10"/>
      <color theme="0"/>
      <name val="Verdana"/>
      <family val="2"/>
    </font>
    <font>
      <sz val="10"/>
      <color theme="0"/>
      <name val="Arial"/>
      <family val="2"/>
    </font>
    <font>
      <sz val="14"/>
      <color rgb="FFFFFF0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color indexed="8"/>
      <name val="Calibri"/>
      <family val="2"/>
      <scheme val="minor"/>
    </font>
    <font>
      <sz val="10"/>
      <color indexed="9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4DD6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i/>
      <sz val="10"/>
      <color indexed="23"/>
      <name val="Calibri"/>
      <family val="2"/>
      <scheme val="minor"/>
    </font>
    <font>
      <i/>
      <sz val="10"/>
      <name val="Calibri"/>
      <family val="2"/>
      <scheme val="minor"/>
    </font>
    <font>
      <sz val="10"/>
      <color indexed="12"/>
      <name val="Calibri"/>
      <family val="2"/>
      <scheme val="minor"/>
    </font>
    <font>
      <i/>
      <sz val="10"/>
      <color indexed="12"/>
      <name val="Calibri"/>
      <family val="2"/>
      <scheme val="minor"/>
    </font>
    <font>
      <b/>
      <i/>
      <sz val="10"/>
      <color indexed="12"/>
      <name val="Calibri"/>
      <family val="2"/>
      <scheme val="minor"/>
    </font>
    <font>
      <u/>
      <sz val="10"/>
      <name val="Calibri"/>
      <family val="2"/>
      <scheme val="minor"/>
    </font>
    <font>
      <u/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indexed="22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0"/>
      <color indexed="63"/>
      <name val="Calibri"/>
      <family val="2"/>
      <scheme val="minor"/>
    </font>
    <font>
      <sz val="10"/>
      <color indexed="23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57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indexed="56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 style="hair">
        <color theme="1"/>
      </bottom>
      <diagonal/>
    </border>
    <border>
      <left/>
      <right/>
      <top/>
      <bottom style="hair">
        <color theme="1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</borders>
  <cellStyleXfs count="2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5" fillId="0" borderId="0" applyNumberFormat="0" applyFill="0" applyBorder="0" applyAlignment="0" applyProtection="0"/>
    <xf numFmtId="0" fontId="7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68">
    <xf numFmtId="0" fontId="0" fillId="0" borderId="0" xfId="0"/>
    <xf numFmtId="0" fontId="0" fillId="4" borderId="0" xfId="0" applyFill="1"/>
    <xf numFmtId="0" fontId="3" fillId="4" borderId="0" xfId="3" applyFont="1" applyFill="1"/>
    <xf numFmtId="0" fontId="3" fillId="4" borderId="0" xfId="3" applyFont="1" applyFill="1" applyAlignment="1">
      <alignment horizontal="center"/>
    </xf>
    <xf numFmtId="0" fontId="11" fillId="4" borderId="0" xfId="3" applyFont="1" applyFill="1" applyAlignment="1">
      <alignment horizontal="center"/>
    </xf>
    <xf numFmtId="0" fontId="4" fillId="4" borderId="0" xfId="3" applyFont="1" applyFill="1"/>
    <xf numFmtId="0" fontId="4" fillId="4" borderId="0" xfId="3" applyFont="1" applyFill="1" applyAlignment="1">
      <alignment horizontal="center"/>
    </xf>
    <xf numFmtId="0" fontId="12" fillId="4" borderId="0" xfId="0" applyFont="1" applyFill="1"/>
    <xf numFmtId="14" fontId="13" fillId="4" borderId="0" xfId="3" applyNumberFormat="1" applyFont="1" applyFill="1" applyAlignment="1">
      <alignment horizontal="left"/>
    </xf>
    <xf numFmtId="0" fontId="3" fillId="4" borderId="1" xfId="3" applyFont="1" applyFill="1" applyBorder="1"/>
    <xf numFmtId="0" fontId="5" fillId="4" borderId="0" xfId="4" applyFill="1" applyAlignment="1">
      <alignment horizontal="center"/>
    </xf>
    <xf numFmtId="0" fontId="3" fillId="4" borderId="0" xfId="3" applyFont="1" applyFill="1" applyAlignment="1">
      <alignment horizontal="centerContinuous" wrapText="1"/>
    </xf>
    <xf numFmtId="0" fontId="15" fillId="0" borderId="0" xfId="0" applyFont="1"/>
    <xf numFmtId="0" fontId="16" fillId="0" borderId="0" xfId="0" applyFont="1"/>
    <xf numFmtId="14" fontId="15" fillId="0" borderId="0" xfId="0" applyNumberFormat="1" applyFont="1" applyFill="1" applyBorder="1" applyAlignment="1">
      <alignment horizontal="right"/>
    </xf>
    <xf numFmtId="0" fontId="15" fillId="0" borderId="3" xfId="0" applyFont="1" applyFill="1" applyBorder="1" applyAlignment="1">
      <alignment horizontal="right"/>
    </xf>
    <xf numFmtId="0" fontId="17" fillId="0" borderId="0" xfId="0" applyFont="1"/>
    <xf numFmtId="165" fontId="15" fillId="0" borderId="0" xfId="0" applyNumberFormat="1" applyFont="1"/>
    <xf numFmtId="0" fontId="15" fillId="0" borderId="0" xfId="0" applyFont="1" applyBorder="1"/>
    <xf numFmtId="0" fontId="18" fillId="4" borderId="0" xfId="0" applyFont="1" applyFill="1" applyBorder="1"/>
    <xf numFmtId="0" fontId="19" fillId="0" borderId="0" xfId="0" applyFont="1" applyBorder="1"/>
    <xf numFmtId="165" fontId="15" fillId="0" borderId="0" xfId="0" applyNumberFormat="1" applyFont="1" applyBorder="1"/>
    <xf numFmtId="0" fontId="20" fillId="0" borderId="0" xfId="0" applyFont="1" applyBorder="1"/>
    <xf numFmtId="0" fontId="20" fillId="0" borderId="0" xfId="0" applyFont="1" applyBorder="1" applyAlignment="1">
      <alignment horizontal="right"/>
    </xf>
    <xf numFmtId="0" fontId="15" fillId="0" borderId="4" xfId="0" applyFont="1" applyBorder="1"/>
    <xf numFmtId="0" fontId="20" fillId="0" borderId="0" xfId="0" applyFont="1"/>
    <xf numFmtId="0" fontId="20" fillId="0" borderId="2" xfId="0" applyFont="1" applyBorder="1"/>
    <xf numFmtId="171" fontId="15" fillId="2" borderId="0" xfId="5" applyNumberFormat="1" applyFont="1" applyFill="1" applyBorder="1" applyAlignment="1">
      <alignment horizontal="right" vertical="center"/>
    </xf>
    <xf numFmtId="168" fontId="16" fillId="2" borderId="0" xfId="5" applyNumberFormat="1" applyFont="1" applyFill="1" applyBorder="1" applyAlignment="1">
      <alignment horizontal="right" vertical="center"/>
    </xf>
    <xf numFmtId="0" fontId="16" fillId="0" borderId="0" xfId="0" applyFont="1" applyBorder="1"/>
    <xf numFmtId="3" fontId="19" fillId="0" borderId="0" xfId="0" applyNumberFormat="1" applyFont="1" applyBorder="1"/>
    <xf numFmtId="37" fontId="16" fillId="0" borderId="0" xfId="0" applyNumberFormat="1" applyFont="1" applyBorder="1"/>
    <xf numFmtId="0" fontId="19" fillId="0" borderId="0" xfId="0" applyFont="1"/>
    <xf numFmtId="3" fontId="20" fillId="0" borderId="0" xfId="0" applyNumberFormat="1" applyFont="1" applyBorder="1"/>
    <xf numFmtId="37" fontId="15" fillId="0" borderId="0" xfId="0" applyNumberFormat="1" applyFont="1" applyBorder="1"/>
    <xf numFmtId="37" fontId="16" fillId="0" borderId="5" xfId="0" applyNumberFormat="1" applyFont="1" applyBorder="1"/>
    <xf numFmtId="2" fontId="20" fillId="0" borderId="0" xfId="0" applyNumberFormat="1" applyFont="1" applyBorder="1"/>
    <xf numFmtId="37" fontId="15" fillId="2" borderId="0" xfId="5" applyNumberFormat="1" applyFont="1" applyFill="1" applyBorder="1" applyAlignment="1">
      <alignment horizontal="right" vertical="center"/>
    </xf>
    <xf numFmtId="0" fontId="15" fillId="0" borderId="2" xfId="0" applyFont="1" applyBorder="1"/>
    <xf numFmtId="0" fontId="20" fillId="2" borderId="0" xfId="0" applyFont="1" applyFill="1" applyBorder="1"/>
    <xf numFmtId="0" fontId="16" fillId="0" borderId="4" xfId="0" applyFont="1" applyBorder="1"/>
    <xf numFmtId="170" fontId="16" fillId="0" borderId="0" xfId="0" applyNumberFormat="1" applyFont="1" applyBorder="1"/>
    <xf numFmtId="169" fontId="16" fillId="0" borderId="0" xfId="0" applyNumberFormat="1" applyFont="1" applyBorder="1"/>
    <xf numFmtId="171" fontId="15" fillId="0" borderId="0" xfId="0" applyNumberFormat="1" applyFont="1" applyBorder="1"/>
    <xf numFmtId="37" fontId="23" fillId="0" borderId="0" xfId="0" applyNumberFormat="1" applyFont="1" applyBorder="1"/>
    <xf numFmtId="0" fontId="23" fillId="0" borderId="0" xfId="0" applyFont="1" applyBorder="1"/>
    <xf numFmtId="166" fontId="15" fillId="0" borderId="0" xfId="0" applyNumberFormat="1" applyFont="1" applyBorder="1"/>
    <xf numFmtId="37" fontId="25" fillId="0" borderId="0" xfId="0" applyNumberFormat="1" applyFont="1" applyFill="1" applyBorder="1"/>
    <xf numFmtId="9" fontId="24" fillId="0" borderId="0" xfId="2" applyFont="1" applyFill="1" applyBorder="1"/>
    <xf numFmtId="9" fontId="26" fillId="0" borderId="0" xfId="0" applyNumberFormat="1" applyFont="1" applyBorder="1"/>
    <xf numFmtId="165" fontId="24" fillId="0" borderId="0" xfId="2" applyNumberFormat="1" applyFont="1" applyBorder="1"/>
    <xf numFmtId="0" fontId="28" fillId="0" borderId="0" xfId="0" applyFont="1" applyBorder="1"/>
    <xf numFmtId="37" fontId="28" fillId="0" borderId="0" xfId="0" applyNumberFormat="1" applyFont="1" applyBorder="1"/>
    <xf numFmtId="37" fontId="15" fillId="0" borderId="0" xfId="1" applyNumberFormat="1" applyFont="1" applyBorder="1"/>
    <xf numFmtId="9" fontId="15" fillId="0" borderId="0" xfId="0" applyNumberFormat="1" applyFont="1" applyBorder="1"/>
    <xf numFmtId="0" fontId="29" fillId="0" borderId="0" xfId="0" applyFont="1" applyBorder="1"/>
    <xf numFmtId="167" fontId="20" fillId="0" borderId="0" xfId="1" applyNumberFormat="1" applyFont="1" applyBorder="1"/>
    <xf numFmtId="37" fontId="15" fillId="0" borderId="0" xfId="0" applyNumberFormat="1" applyFont="1" applyFill="1" applyBorder="1"/>
    <xf numFmtId="37" fontId="16" fillId="0" borderId="5" xfId="0" applyNumberFormat="1" applyFont="1" applyFill="1" applyBorder="1"/>
    <xf numFmtId="0" fontId="31" fillId="0" borderId="0" xfId="0" applyFont="1" applyFill="1" applyBorder="1"/>
    <xf numFmtId="37" fontId="15" fillId="0" borderId="2" xfId="0" applyNumberFormat="1" applyFont="1" applyBorder="1"/>
    <xf numFmtId="37" fontId="15" fillId="0" borderId="0" xfId="0" applyNumberFormat="1" applyFont="1" applyBorder="1" applyAlignment="1">
      <alignment horizontal="right"/>
    </xf>
    <xf numFmtId="37" fontId="16" fillId="0" borderId="4" xfId="0" applyNumberFormat="1" applyFont="1" applyBorder="1" applyAlignment="1">
      <alignment horizontal="right"/>
    </xf>
    <xf numFmtId="37" fontId="15" fillId="0" borderId="0" xfId="1" applyNumberFormat="1" applyFont="1" applyFill="1" applyBorder="1"/>
    <xf numFmtId="37" fontId="15" fillId="0" borderId="5" xfId="0" applyNumberFormat="1" applyFont="1" applyBorder="1"/>
    <xf numFmtId="0" fontId="18" fillId="0" borderId="0" xfId="0" applyFont="1" applyFill="1" applyBorder="1"/>
    <xf numFmtId="169" fontId="18" fillId="0" borderId="0" xfId="0" applyNumberFormat="1" applyFont="1" applyFill="1" applyBorder="1"/>
    <xf numFmtId="171" fontId="15" fillId="0" borderId="0" xfId="0" applyNumberFormat="1" applyFont="1" applyBorder="1" applyAlignment="1">
      <alignment horizontal="right"/>
    </xf>
    <xf numFmtId="0" fontId="15" fillId="0" borderId="0" xfId="0" applyFont="1" applyBorder="1" applyAlignment="1">
      <alignment horizontal="right"/>
    </xf>
    <xf numFmtId="165" fontId="15" fillId="0" borderId="0" xfId="0" applyNumberFormat="1" applyFont="1" applyBorder="1" applyAlignment="1">
      <alignment horizontal="right"/>
    </xf>
    <xf numFmtId="0" fontId="20" fillId="0" borderId="0" xfId="0" applyFont="1" applyFill="1"/>
    <xf numFmtId="0" fontId="15" fillId="0" borderId="0" xfId="0" applyFont="1" applyFill="1" applyBorder="1"/>
    <xf numFmtId="0" fontId="15" fillId="0" borderId="4" xfId="0" applyFont="1" applyBorder="1" applyAlignment="1">
      <alignment horizontal="right"/>
    </xf>
    <xf numFmtId="37" fontId="33" fillId="0" borderId="0" xfId="0" applyNumberFormat="1" applyFont="1" applyBorder="1"/>
    <xf numFmtId="37" fontId="34" fillId="0" borderId="0" xfId="0" applyNumberFormat="1" applyFont="1" applyBorder="1"/>
    <xf numFmtId="37" fontId="34" fillId="0" borderId="0" xfId="1" applyNumberFormat="1" applyFont="1" applyBorder="1"/>
    <xf numFmtId="0" fontId="35" fillId="0" borderId="0" xfId="4" applyFont="1" applyAlignment="1">
      <alignment horizontal="left"/>
    </xf>
    <xf numFmtId="0" fontId="20" fillId="0" borderId="0" xfId="0" applyFont="1" applyBorder="1" applyAlignment="1"/>
    <xf numFmtId="0" fontId="36" fillId="4" borderId="0" xfId="0" applyFont="1" applyFill="1"/>
    <xf numFmtId="0" fontId="37" fillId="4" borderId="0" xfId="0" applyFont="1" applyFill="1"/>
    <xf numFmtId="165" fontId="37" fillId="4" borderId="0" xfId="0" applyNumberFormat="1" applyFont="1" applyFill="1"/>
    <xf numFmtId="0" fontId="37" fillId="4" borderId="0" xfId="0" applyFont="1" applyFill="1" applyBorder="1"/>
    <xf numFmtId="170" fontId="18" fillId="4" borderId="0" xfId="0" applyNumberFormat="1" applyFont="1" applyFill="1" applyBorder="1"/>
    <xf numFmtId="169" fontId="18" fillId="4" borderId="0" xfId="0" applyNumberFormat="1" applyFont="1" applyFill="1" applyBorder="1"/>
    <xf numFmtId="0" fontId="32" fillId="4" borderId="0" xfId="0" applyFont="1" applyFill="1" applyBorder="1"/>
    <xf numFmtId="170" fontId="32" fillId="4" borderId="0" xfId="0" applyNumberFormat="1" applyFont="1" applyFill="1" applyBorder="1"/>
    <xf numFmtId="169" fontId="32" fillId="4" borderId="0" xfId="0" applyNumberFormat="1" applyFont="1" applyFill="1" applyBorder="1"/>
    <xf numFmtId="168" fontId="24" fillId="2" borderId="0" xfId="5" applyNumberFormat="1" applyFont="1" applyFill="1" applyBorder="1" applyAlignment="1">
      <alignment horizontal="center" vertical="center"/>
    </xf>
    <xf numFmtId="0" fontId="24" fillId="0" borderId="0" xfId="0" applyFont="1" applyBorder="1"/>
    <xf numFmtId="0" fontId="15" fillId="0" borderId="0" xfId="0" applyFont="1" applyBorder="1" applyAlignment="1">
      <alignment horizontal="left" indent="1"/>
    </xf>
    <xf numFmtId="167" fontId="28" fillId="0" borderId="0" xfId="0" applyNumberFormat="1" applyFont="1" applyBorder="1"/>
    <xf numFmtId="0" fontId="32" fillId="4" borderId="3" xfId="0" applyFont="1" applyFill="1" applyBorder="1"/>
    <xf numFmtId="0" fontId="22" fillId="0" borderId="0" xfId="0" applyFont="1" applyBorder="1"/>
    <xf numFmtId="0" fontId="37" fillId="4" borderId="3" xfId="0" applyFont="1" applyFill="1" applyBorder="1"/>
    <xf numFmtId="170" fontId="37" fillId="4" borderId="0" xfId="0" applyNumberFormat="1" applyFont="1" applyFill="1" applyBorder="1"/>
    <xf numFmtId="169" fontId="37" fillId="4" borderId="0" xfId="0" applyNumberFormat="1" applyFont="1" applyFill="1" applyBorder="1"/>
    <xf numFmtId="0" fontId="19" fillId="0" borderId="5" xfId="0" applyFont="1" applyBorder="1"/>
    <xf numFmtId="0" fontId="20" fillId="0" borderId="5" xfId="0" applyFont="1" applyBorder="1"/>
    <xf numFmtId="37" fontId="20" fillId="0" borderId="5" xfId="0" applyNumberFormat="1" applyFont="1" applyBorder="1"/>
    <xf numFmtId="170" fontId="33" fillId="0" borderId="0" xfId="0" applyNumberFormat="1" applyFont="1" applyBorder="1"/>
    <xf numFmtId="169" fontId="33" fillId="0" borderId="0" xfId="0" applyNumberFormat="1" applyFont="1" applyBorder="1"/>
    <xf numFmtId="0" fontId="33" fillId="0" borderId="0" xfId="0" applyNumberFormat="1" applyFont="1" applyBorder="1"/>
    <xf numFmtId="37" fontId="19" fillId="0" borderId="5" xfId="0" applyNumberFormat="1" applyFont="1" applyBorder="1"/>
    <xf numFmtId="167" fontId="15" fillId="0" borderId="0" xfId="0" applyNumberFormat="1" applyFont="1" applyBorder="1"/>
    <xf numFmtId="6" fontId="31" fillId="0" borderId="0" xfId="0" applyNumberFormat="1" applyFont="1" applyBorder="1"/>
    <xf numFmtId="172" fontId="30" fillId="3" borderId="0" xfId="0" applyNumberFormat="1" applyFont="1" applyFill="1" applyBorder="1"/>
    <xf numFmtId="172" fontId="38" fillId="3" borderId="0" xfId="0" applyNumberFormat="1" applyFont="1" applyFill="1" applyBorder="1"/>
    <xf numFmtId="172" fontId="38" fillId="3" borderId="4" xfId="0" applyNumberFormat="1" applyFont="1" applyFill="1" applyBorder="1"/>
    <xf numFmtId="0" fontId="10" fillId="4" borderId="0" xfId="3" applyFont="1" applyFill="1" applyAlignment="1">
      <alignment horizontal="center"/>
    </xf>
    <xf numFmtId="0" fontId="39" fillId="0" borderId="0" xfId="0" applyFont="1" applyBorder="1"/>
    <xf numFmtId="0" fontId="21" fillId="5" borderId="12" xfId="0" applyFont="1" applyFill="1" applyBorder="1" applyAlignment="1" applyProtection="1">
      <alignment horizontal="right"/>
      <protection locked="0"/>
    </xf>
    <xf numFmtId="9" fontId="21" fillId="5" borderId="12" xfId="5" applyNumberFormat="1" applyFont="1" applyFill="1" applyBorder="1" applyAlignment="1" applyProtection="1">
      <alignment horizontal="right" vertical="center"/>
      <protection locked="0"/>
    </xf>
    <xf numFmtId="37" fontId="21" fillId="5" borderId="12" xfId="0" applyNumberFormat="1" applyFont="1" applyFill="1" applyBorder="1" applyProtection="1">
      <protection locked="0"/>
    </xf>
    <xf numFmtId="172" fontId="25" fillId="5" borderId="12" xfId="0" applyNumberFormat="1" applyFont="1" applyFill="1" applyBorder="1" applyProtection="1">
      <protection locked="0"/>
    </xf>
    <xf numFmtId="172" fontId="25" fillId="5" borderId="9" xfId="0" applyNumberFormat="1" applyFont="1" applyFill="1" applyBorder="1" applyProtection="1">
      <protection locked="0"/>
    </xf>
    <xf numFmtId="172" fontId="25" fillId="5" borderId="10" xfId="0" applyNumberFormat="1" applyFont="1" applyFill="1" applyBorder="1" applyProtection="1">
      <protection locked="0"/>
    </xf>
    <xf numFmtId="172" fontId="25" fillId="5" borderId="11" xfId="0" applyNumberFormat="1" applyFont="1" applyFill="1" applyBorder="1" applyProtection="1">
      <protection locked="0"/>
    </xf>
    <xf numFmtId="165" fontId="27" fillId="5" borderId="12" xfId="2" applyNumberFormat="1" applyFont="1" applyFill="1" applyBorder="1" applyProtection="1">
      <protection locked="0"/>
    </xf>
    <xf numFmtId="165" fontId="26" fillId="5" borderId="12" xfId="2" applyNumberFormat="1" applyFont="1" applyFill="1" applyBorder="1" applyProtection="1">
      <protection locked="0"/>
    </xf>
    <xf numFmtId="165" fontId="25" fillId="5" borderId="12" xfId="2" applyNumberFormat="1" applyFont="1" applyFill="1" applyBorder="1" applyProtection="1">
      <protection locked="0"/>
    </xf>
    <xf numFmtId="172" fontId="30" fillId="3" borderId="4" xfId="0" applyNumberFormat="1" applyFont="1" applyFill="1" applyBorder="1"/>
    <xf numFmtId="0" fontId="15" fillId="0" borderId="0" xfId="0" applyFont="1" applyAlignment="1">
      <alignment horizontal="right"/>
    </xf>
    <xf numFmtId="0" fontId="36" fillId="4" borderId="0" xfId="0" applyFont="1" applyFill="1" applyAlignment="1">
      <alignment horizontal="right"/>
    </xf>
    <xf numFmtId="0" fontId="37" fillId="4" borderId="0" xfId="0" applyFont="1" applyFill="1" applyBorder="1" applyAlignment="1">
      <alignment horizontal="right"/>
    </xf>
    <xf numFmtId="0" fontId="19" fillId="0" borderId="0" xfId="0" applyFont="1" applyBorder="1" applyAlignment="1">
      <alignment horizontal="right"/>
    </xf>
    <xf numFmtId="0" fontId="17" fillId="0" borderId="0" xfId="0" applyFont="1" applyAlignment="1">
      <alignment horizontal="right"/>
    </xf>
    <xf numFmtId="0" fontId="32" fillId="4" borderId="0" xfId="0" applyFont="1" applyFill="1" applyBorder="1" applyAlignment="1">
      <alignment horizontal="right"/>
    </xf>
    <xf numFmtId="0" fontId="15" fillId="2" borderId="0" xfId="0" applyFont="1" applyFill="1" applyBorder="1" applyAlignment="1">
      <alignment horizontal="right"/>
    </xf>
    <xf numFmtId="0" fontId="16" fillId="2" borderId="0" xfId="0" applyFont="1" applyFill="1" applyBorder="1" applyAlignment="1">
      <alignment horizontal="right"/>
    </xf>
    <xf numFmtId="0" fontId="31" fillId="0" borderId="0" xfId="0" applyFont="1" applyFill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0" fontId="19" fillId="0" borderId="0" xfId="0" applyFont="1" applyAlignment="1">
      <alignment horizontal="right"/>
    </xf>
    <xf numFmtId="0" fontId="18" fillId="4" borderId="0" xfId="0" applyFont="1" applyFill="1" applyBorder="1" applyAlignment="1">
      <alignment horizontal="right"/>
    </xf>
    <xf numFmtId="9" fontId="24" fillId="0" borderId="0" xfId="2" applyFont="1" applyBorder="1" applyAlignment="1">
      <alignment horizontal="right"/>
    </xf>
    <xf numFmtId="0" fontId="29" fillId="0" borderId="0" xfId="0" applyFont="1" applyBorder="1" applyAlignment="1">
      <alignment horizontal="right"/>
    </xf>
    <xf numFmtId="0" fontId="37" fillId="4" borderId="3" xfId="0" applyFont="1" applyFill="1" applyBorder="1" applyAlignment="1">
      <alignment horizontal="right"/>
    </xf>
    <xf numFmtId="0" fontId="15" fillId="0" borderId="2" xfId="0" applyFont="1" applyBorder="1" applyAlignment="1">
      <alignment horizontal="right"/>
    </xf>
    <xf numFmtId="0" fontId="28" fillId="0" borderId="0" xfId="0" applyFont="1" applyBorder="1" applyAlignment="1">
      <alignment horizontal="right"/>
    </xf>
    <xf numFmtId="0" fontId="16" fillId="2" borderId="4" xfId="0" applyFont="1" applyFill="1" applyBorder="1" applyAlignment="1">
      <alignment horizontal="right"/>
    </xf>
    <xf numFmtId="0" fontId="15" fillId="2" borderId="4" xfId="0" applyFont="1" applyFill="1" applyBorder="1" applyAlignment="1">
      <alignment horizontal="right"/>
    </xf>
    <xf numFmtId="0" fontId="18" fillId="4" borderId="3" xfId="0" applyFont="1" applyFill="1" applyBorder="1" applyAlignment="1">
      <alignment horizontal="right"/>
    </xf>
    <xf numFmtId="37" fontId="30" fillId="0" borderId="7" xfId="0" applyNumberFormat="1" applyFont="1" applyBorder="1" applyAlignment="1">
      <alignment horizontal="right"/>
    </xf>
    <xf numFmtId="37" fontId="30" fillId="0" borderId="6" xfId="0" applyNumberFormat="1" applyFont="1" applyBorder="1" applyAlignment="1">
      <alignment horizontal="right"/>
    </xf>
    <xf numFmtId="37" fontId="30" fillId="0" borderId="8" xfId="0" applyNumberFormat="1" applyFont="1" applyBorder="1" applyAlignment="1">
      <alignment horizontal="right"/>
    </xf>
    <xf numFmtId="37" fontId="34" fillId="0" borderId="0" xfId="0" applyNumberFormat="1" applyFont="1" applyBorder="1" applyAlignment="1">
      <alignment horizontal="right"/>
    </xf>
    <xf numFmtId="0" fontId="16" fillId="0" borderId="4" xfId="0" applyFont="1" applyBorder="1" applyAlignment="1">
      <alignment horizontal="right"/>
    </xf>
    <xf numFmtId="0" fontId="20" fillId="0" borderId="0" xfId="0" applyFont="1" applyAlignment="1">
      <alignment horizontal="right"/>
    </xf>
    <xf numFmtId="0" fontId="16" fillId="0" borderId="0" xfId="0" applyFont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3" fontId="20" fillId="0" borderId="0" xfId="0" applyNumberFormat="1" applyFont="1" applyBorder="1" applyAlignment="1">
      <alignment horizontal="right"/>
    </xf>
    <xf numFmtId="0" fontId="20" fillId="2" borderId="0" xfId="0" applyFont="1" applyFill="1" applyBorder="1" applyAlignment="1">
      <alignment horizontal="right"/>
    </xf>
    <xf numFmtId="37" fontId="23" fillId="0" borderId="0" xfId="0" applyNumberFormat="1" applyFont="1" applyBorder="1" applyAlignment="1">
      <alignment horizontal="right"/>
    </xf>
    <xf numFmtId="0" fontId="18" fillId="0" borderId="0" xfId="0" applyFont="1" applyFill="1" applyBorder="1" applyAlignment="1">
      <alignment horizontal="right"/>
    </xf>
    <xf numFmtId="0" fontId="20" fillId="0" borderId="2" xfId="0" applyFont="1" applyBorder="1" applyAlignment="1">
      <alignment horizontal="right"/>
    </xf>
    <xf numFmtId="0" fontId="35" fillId="0" borderId="0" xfId="4" applyFont="1" applyAlignment="1">
      <alignment horizontal="right"/>
    </xf>
    <xf numFmtId="172" fontId="30" fillId="3" borderId="14" xfId="0" applyNumberFormat="1" applyFont="1" applyFill="1" applyBorder="1"/>
    <xf numFmtId="172" fontId="30" fillId="3" borderId="13" xfId="0" applyNumberFormat="1" applyFont="1" applyFill="1" applyBorder="1"/>
    <xf numFmtId="172" fontId="25" fillId="5" borderId="15" xfId="0" applyNumberFormat="1" applyFont="1" applyFill="1" applyBorder="1" applyProtection="1">
      <protection locked="0"/>
    </xf>
    <xf numFmtId="172" fontId="38" fillId="3" borderId="14" xfId="0" applyNumberFormat="1" applyFont="1" applyFill="1" applyBorder="1"/>
    <xf numFmtId="37" fontId="21" fillId="5" borderId="12" xfId="1" applyNumberFormat="1" applyFont="1" applyFill="1" applyBorder="1" applyProtection="1">
      <protection locked="0"/>
    </xf>
    <xf numFmtId="171" fontId="21" fillId="5" borderId="12" xfId="5" applyNumberFormat="1" applyFont="1" applyFill="1" applyBorder="1" applyAlignment="1" applyProtection="1">
      <alignment horizontal="right" vertical="center"/>
      <protection locked="0"/>
    </xf>
    <xf numFmtId="165" fontId="21" fillId="5" borderId="12" xfId="0" applyNumberFormat="1" applyFont="1" applyFill="1" applyBorder="1" applyProtection="1">
      <protection locked="0"/>
    </xf>
    <xf numFmtId="2" fontId="21" fillId="5" borderId="12" xfId="0" applyNumberFormat="1" applyFont="1" applyFill="1" applyBorder="1" applyProtection="1">
      <protection locked="0"/>
    </xf>
    <xf numFmtId="0" fontId="10" fillId="4" borderId="0" xfId="3" applyFont="1" applyFill="1" applyAlignment="1"/>
    <xf numFmtId="0" fontId="6" fillId="6" borderId="0" xfId="3" applyFont="1" applyFill="1" applyAlignment="1">
      <alignment horizontal="center" wrapText="1"/>
    </xf>
    <xf numFmtId="0" fontId="3" fillId="4" borderId="0" xfId="3" applyFont="1" applyFill="1" applyAlignment="1">
      <alignment horizontal="center"/>
    </xf>
    <xf numFmtId="0" fontId="15" fillId="0" borderId="0" xfId="0" applyFont="1" applyBorder="1" applyAlignment="1">
      <alignment horizontal="left"/>
    </xf>
    <xf numFmtId="0" fontId="15" fillId="0" borderId="16" xfId="0" applyFont="1" applyBorder="1" applyAlignment="1">
      <alignment horizontal="left"/>
    </xf>
  </cellXfs>
  <cellStyles count="26">
    <cellStyle name="Hiperlink" xfId="4" builtinId="8"/>
    <cellStyle name="Hiperlink Visitado" xfId="6" builtinId="9" hidden="1"/>
    <cellStyle name="Hiperlink Visitado" xfId="7" builtinId="9" hidden="1"/>
    <cellStyle name="Hiperlink Visitado" xfId="8" builtinId="9" hidden="1"/>
    <cellStyle name="Hiperlink Visitado" xfId="9" builtinId="9" hidden="1"/>
    <cellStyle name="Hiperlink Visitado" xfId="10" builtinId="9" hidden="1"/>
    <cellStyle name="Hiperlink Visitado" xfId="11" builtinId="9" hidden="1"/>
    <cellStyle name="Hiperlink Visitado" xfId="12" builtinId="9" hidden="1"/>
    <cellStyle name="Hiperlink Visitado" xfId="13" builtinId="9" hidden="1"/>
    <cellStyle name="Hiperlink Visitado" xfId="14" builtinId="9" hidden="1"/>
    <cellStyle name="Hiperlink Visitado" xfId="15" builtinId="9" hidden="1"/>
    <cellStyle name="Hiperlink Visitado" xfId="16" builtinId="9" hidden="1"/>
    <cellStyle name="Hiperlink Visitado" xfId="17" builtinId="9" hidden="1"/>
    <cellStyle name="Hiperlink Visitado" xfId="18" builtinId="9" hidden="1"/>
    <cellStyle name="Hiperlink Visitado" xfId="19" builtinId="9" hidden="1"/>
    <cellStyle name="Hiperlink Visitado" xfId="20" builtinId="9" hidden="1"/>
    <cellStyle name="Hiperlink Visitado" xfId="21" builtinId="9" hidden="1"/>
    <cellStyle name="Hiperlink Visitado" xfId="22" builtinId="9" hidden="1"/>
    <cellStyle name="Hiperlink Visitado" xfId="23" builtinId="9" hidden="1"/>
    <cellStyle name="Hiperlink Visitado" xfId="24" builtinId="9" hidden="1"/>
    <cellStyle name="Hiperlink Visitado" xfId="25" builtinId="9" hidden="1"/>
    <cellStyle name="Normal" xfId="0" builtinId="0"/>
    <cellStyle name="Normal 2" xfId="5" xr:uid="{00000000-0005-0000-0000-000017000000}"/>
    <cellStyle name="Porcentagem" xfId="2" builtinId="5"/>
    <cellStyle name="Standard 2" xfId="3" xr:uid="{00000000-0005-0000-0000-000019000000}"/>
    <cellStyle name="Vírgula" xfId="1" builtinId="3"/>
  </cellStyles>
  <dxfs count="0"/>
  <tableStyles count="0" defaultTableStyle="TableStyleMedium9" defaultPivotStyle="PivotStyleMedium4"/>
  <colors>
    <mruColors>
      <color rgb="FF3AAE65"/>
      <color rgb="FF98C51E"/>
      <color rgb="FF217B5D"/>
      <color rgb="FF004DD6"/>
      <color rgb="FF094A51"/>
      <color rgb="FF8783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pt-B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26071097730401"/>
          <c:y val="0.13131710808876201"/>
          <c:w val="0.92837341191246803"/>
          <c:h val="0.75942356888933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Projeções!$B$40</c:f>
              <c:strCache>
                <c:ptCount val="1"/>
                <c:pt idx="0">
                  <c:v>Receitas Líquidas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>
              <a:noFill/>
            </a:ln>
          </c:spPr>
          <c:invertIfNegative val="0"/>
          <c:cat>
            <c:numRef>
              <c:f>Projeções!$D$38:$K$38</c:f>
              <c:numCache>
                <c:formatCode>0000\ \A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 formatCode="0000\ \F">
                  <c:v>2020</c:v>
                </c:pt>
                <c:pt idx="4" formatCode="0000\ \F">
                  <c:v>2021</c:v>
                </c:pt>
                <c:pt idx="5" formatCode="0000\ \F">
                  <c:v>2022</c:v>
                </c:pt>
                <c:pt idx="6" formatCode="0000\ \F">
                  <c:v>2023</c:v>
                </c:pt>
                <c:pt idx="7" formatCode="0000\ \F">
                  <c:v>2024</c:v>
                </c:pt>
              </c:numCache>
            </c:numRef>
          </c:cat>
          <c:val>
            <c:numRef>
              <c:f>Projeções!$D$40:$K$40</c:f>
              <c:numCache>
                <c:formatCode>"R$"\ #,##0,;[Red]\-"R$"\ #,##0,</c:formatCode>
                <c:ptCount val="8"/>
                <c:pt idx="0">
                  <c:v>3800000</c:v>
                </c:pt>
                <c:pt idx="1">
                  <c:v>4500000</c:v>
                </c:pt>
                <c:pt idx="2">
                  <c:v>5000000</c:v>
                </c:pt>
                <c:pt idx="3">
                  <c:v>5500000</c:v>
                </c:pt>
                <c:pt idx="4">
                  <c:v>5775000</c:v>
                </c:pt>
                <c:pt idx="5">
                  <c:v>6063750</c:v>
                </c:pt>
                <c:pt idx="6">
                  <c:v>6366937.5</c:v>
                </c:pt>
                <c:pt idx="7">
                  <c:v>6685284.375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92-4474-A2B5-8BE726F2BC32}"/>
            </c:ext>
          </c:extLst>
        </c:ser>
        <c:ser>
          <c:idx val="1"/>
          <c:order val="1"/>
          <c:tx>
            <c:strRef>
              <c:f>Projeções!$B$51</c:f>
              <c:strCache>
                <c:ptCount val="1"/>
                <c:pt idx="0">
                  <c:v>EBITDA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</c:spPr>
          <c:invertIfNegative val="0"/>
          <c:cat>
            <c:numRef>
              <c:f>Projeções!$D$38:$K$38</c:f>
              <c:numCache>
                <c:formatCode>0000\ \A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 formatCode="0000\ \F">
                  <c:v>2020</c:v>
                </c:pt>
                <c:pt idx="4" formatCode="0000\ \F">
                  <c:v>2021</c:v>
                </c:pt>
                <c:pt idx="5" formatCode="0000\ \F">
                  <c:v>2022</c:v>
                </c:pt>
                <c:pt idx="6" formatCode="0000\ \F">
                  <c:v>2023</c:v>
                </c:pt>
                <c:pt idx="7" formatCode="0000\ \F">
                  <c:v>2024</c:v>
                </c:pt>
              </c:numCache>
            </c:numRef>
          </c:cat>
          <c:val>
            <c:numRef>
              <c:f>Projeções!$D$51:$K$51</c:f>
              <c:numCache>
                <c:formatCode>"R$"\ #,##0,;[Red]\-"R$"\ #,##0,</c:formatCode>
                <c:ptCount val="8"/>
                <c:pt idx="0">
                  <c:v>810000</c:v>
                </c:pt>
                <c:pt idx="1">
                  <c:v>990000</c:v>
                </c:pt>
                <c:pt idx="2">
                  <c:v>820000</c:v>
                </c:pt>
                <c:pt idx="3">
                  <c:v>855000</c:v>
                </c:pt>
                <c:pt idx="4">
                  <c:v>856500</c:v>
                </c:pt>
                <c:pt idx="5">
                  <c:v>1149325</c:v>
                </c:pt>
                <c:pt idx="6">
                  <c:v>1068791.25</c:v>
                </c:pt>
                <c:pt idx="7">
                  <c:v>1095230.8125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92-4474-A2B5-8BE726F2BC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54002880"/>
        <c:axId val="-513426288"/>
      </c:barChart>
      <c:lineChart>
        <c:grouping val="standard"/>
        <c:varyColors val="0"/>
        <c:ser>
          <c:idx val="2"/>
          <c:order val="2"/>
          <c:tx>
            <c:strRef>
              <c:f>Projeções!$B$52</c:f>
              <c:strCache>
                <c:ptCount val="1"/>
                <c:pt idx="0">
                  <c:v>%</c:v>
                </c:pt>
              </c:strCache>
            </c:strRef>
          </c:tx>
          <c:spPr>
            <a:ln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none"/>
          </c:marker>
          <c:val>
            <c:numRef>
              <c:f>Projeções!$D$52:$K$52</c:f>
              <c:numCache>
                <c:formatCode>0.0%</c:formatCode>
                <c:ptCount val="8"/>
                <c:pt idx="0">
                  <c:v>0.2131578947368421</c:v>
                </c:pt>
                <c:pt idx="1">
                  <c:v>0.22</c:v>
                </c:pt>
                <c:pt idx="2">
                  <c:v>0.16400000000000001</c:v>
                </c:pt>
                <c:pt idx="3">
                  <c:v>0.15545454545454546</c:v>
                </c:pt>
                <c:pt idx="4">
                  <c:v>0.14831168831168831</c:v>
                </c:pt>
                <c:pt idx="5">
                  <c:v>0.18954030096887239</c:v>
                </c:pt>
                <c:pt idx="6">
                  <c:v>0.16786583031480989</c:v>
                </c:pt>
                <c:pt idx="7">
                  <c:v>0.16382710907492248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92-4474-A2B5-8BE726F2BC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54429584"/>
        <c:axId val="-561866112"/>
      </c:lineChart>
      <c:catAx>
        <c:axId val="-554002880"/>
        <c:scaling>
          <c:orientation val="minMax"/>
        </c:scaling>
        <c:delete val="0"/>
        <c:axPos val="b"/>
        <c:numFmt formatCode="0000\ \A" sourceLinked="1"/>
        <c:majorTickMark val="none"/>
        <c:minorTickMark val="none"/>
        <c:tickLblPos val="nextTo"/>
        <c:txPr>
          <a:bodyPr/>
          <a:lstStyle/>
          <a:p>
            <a:pPr>
              <a:defRPr lang="de-DE" sz="1000">
                <a:latin typeface="Arial"/>
                <a:cs typeface="Arial"/>
              </a:defRPr>
            </a:pPr>
            <a:endParaRPr lang="pt-BR"/>
          </a:p>
        </c:txPr>
        <c:crossAx val="-513426288"/>
        <c:crosses val="autoZero"/>
        <c:auto val="1"/>
        <c:lblAlgn val="ctr"/>
        <c:lblOffset val="100"/>
        <c:noMultiLvlLbl val="0"/>
      </c:catAx>
      <c:valAx>
        <c:axId val="-51342628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lang="de-DE" sz="1000">
                <a:latin typeface="Arial"/>
                <a:cs typeface="Arial"/>
              </a:defRPr>
            </a:pPr>
            <a:endParaRPr lang="pt-BR"/>
          </a:p>
        </c:txPr>
        <c:crossAx val="-554002880"/>
        <c:crosses val="autoZero"/>
        <c:crossBetween val="between"/>
      </c:valAx>
      <c:valAx>
        <c:axId val="-561866112"/>
        <c:scaling>
          <c:orientation val="minMax"/>
        </c:scaling>
        <c:delete val="0"/>
        <c:axPos val="r"/>
        <c:numFmt formatCode="0.0%" sourceLinked="0"/>
        <c:majorTickMark val="out"/>
        <c:minorTickMark val="none"/>
        <c:tickLblPos val="nextTo"/>
        <c:crossAx val="-554429584"/>
        <c:crosses val="max"/>
        <c:crossBetween val="between"/>
      </c:valAx>
      <c:catAx>
        <c:axId val="-554429584"/>
        <c:scaling>
          <c:orientation val="minMax"/>
        </c:scaling>
        <c:delete val="1"/>
        <c:axPos val="b"/>
        <c:numFmt formatCode="0000\ \A" sourceLinked="1"/>
        <c:majorTickMark val="out"/>
        <c:minorTickMark val="none"/>
        <c:tickLblPos val="nextTo"/>
        <c:crossAx val="-561866112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r"/>
      <c:layout>
        <c:manualLayout>
          <c:xMode val="edge"/>
          <c:yMode val="edge"/>
          <c:x val="9.8033411364119999E-2"/>
          <c:y val="1.77369680055816E-2"/>
          <c:w val="0.83717088827751895"/>
          <c:h val="7.6624140336888302E-2"/>
        </c:manualLayout>
      </c:layout>
      <c:overlay val="0"/>
      <c:txPr>
        <a:bodyPr/>
        <a:lstStyle/>
        <a:p>
          <a:pPr>
            <a:defRPr lang="de-DE" sz="1000">
              <a:latin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74106647573293"/>
          <c:y val="0.13666710760123452"/>
          <c:w val="0.92837341191246803"/>
          <c:h val="0.75942356888933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Projeções!$B$134</c:f>
              <c:strCache>
                <c:ptCount val="1"/>
                <c:pt idx="0">
                  <c:v>Fluxo de Caixa da Empresa (FCFF)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numRef>
              <c:f>Projeções!$F$121:$K$121</c:f>
              <c:numCache>
                <c:formatCode>0000\ \F</c:formatCode>
                <c:ptCount val="6"/>
                <c:pt idx="0" formatCode="0000\ \A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Projeções!$G$134:$K$134</c:f>
              <c:numCache>
                <c:formatCode>"R$"\ #,##0,;[Red]\-"R$"\ #,##0,</c:formatCode>
                <c:ptCount val="5"/>
                <c:pt idx="0">
                  <c:v>-191100.91324200894</c:v>
                </c:pt>
                <c:pt idx="1">
                  <c:v>72246.621004566201</c:v>
                </c:pt>
                <c:pt idx="2">
                  <c:v>374075.61872146127</c:v>
                </c:pt>
                <c:pt idx="3">
                  <c:v>227082.73299086746</c:v>
                </c:pt>
                <c:pt idx="4">
                  <c:v>4775670.1196404109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D0-4AD6-AEEA-D31743753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-558570144"/>
        <c:axId val="-558337920"/>
      </c:barChart>
      <c:catAx>
        <c:axId val="-558570144"/>
        <c:scaling>
          <c:orientation val="minMax"/>
        </c:scaling>
        <c:delete val="0"/>
        <c:axPos val="b"/>
        <c:numFmt formatCode="0000\ \A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558337920"/>
        <c:crosses val="autoZero"/>
        <c:auto val="1"/>
        <c:lblAlgn val="ctr"/>
        <c:lblOffset val="100"/>
        <c:noMultiLvlLbl val="0"/>
      </c:catAx>
      <c:valAx>
        <c:axId val="-558337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558570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1" l="0.75" r="0.75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Proje&#231;&#245;es!A1"/><Relationship Id="rId2" Type="http://schemas.openxmlformats.org/officeDocument/2006/relationships/image" Target="../media/image1.jpg"/><Relationship Id="rId1" Type="http://schemas.openxmlformats.org/officeDocument/2006/relationships/hyperlink" Target="http://www.valini.com.br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alini.com.br" TargetMode="Externa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hyperlink" Target="#Menu!A1"/><Relationship Id="rId4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390525</xdr:colOff>
      <xdr:row>3</xdr:row>
      <xdr:rowOff>28575</xdr:rowOff>
    </xdr:from>
    <xdr:to>
      <xdr:col>5</xdr:col>
      <xdr:colOff>508000</xdr:colOff>
      <xdr:row>4</xdr:row>
      <xdr:rowOff>309335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4335A3-C272-44A1-8735-1E71A2C91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43575" y="523875"/>
          <a:ext cx="1365250" cy="604610"/>
        </a:xfrm>
        <a:prstGeom prst="rect">
          <a:avLst/>
        </a:prstGeom>
      </xdr:spPr>
    </xdr:pic>
    <xdr:clientData/>
  </xdr:twoCellAnchor>
  <xdr:twoCellAnchor>
    <xdr:from>
      <xdr:col>5</xdr:col>
      <xdr:colOff>200025</xdr:colOff>
      <xdr:row>8</xdr:row>
      <xdr:rowOff>66675</xdr:rowOff>
    </xdr:from>
    <xdr:to>
      <xdr:col>6</xdr:col>
      <xdr:colOff>571500</xdr:colOff>
      <xdr:row>12</xdr:row>
      <xdr:rowOff>95250</xdr:rowOff>
    </xdr:to>
    <xdr:sp macro="" textlink="">
      <xdr:nvSpPr>
        <xdr:cNvPr id="3" name="Seta: para a Direita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717C4B2-4CFF-49B8-AE8A-52C825B153BC}"/>
            </a:ext>
          </a:extLst>
        </xdr:cNvPr>
        <xdr:cNvSpPr/>
      </xdr:nvSpPr>
      <xdr:spPr>
        <a:xfrm>
          <a:off x="6800850" y="1762125"/>
          <a:ext cx="1200150" cy="676275"/>
        </a:xfrm>
        <a:prstGeom prst="righ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pt-B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186267</xdr:colOff>
      <xdr:row>174</xdr:row>
      <xdr:rowOff>135467</xdr:rowOff>
    </xdr:from>
    <xdr:to>
      <xdr:col>10</xdr:col>
      <xdr:colOff>381000</xdr:colOff>
      <xdr:row>189</xdr:row>
      <xdr:rowOff>152400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213360</xdr:colOff>
      <xdr:row>154</xdr:row>
      <xdr:rowOff>101600</xdr:rowOff>
    </xdr:from>
    <xdr:to>
      <xdr:col>10</xdr:col>
      <xdr:colOff>599440</xdr:colOff>
      <xdr:row>168</xdr:row>
      <xdr:rowOff>50800</xdr:rowOff>
    </xdr:to>
    <xdr:graphicFrame macro="">
      <xdr:nvGraphicFramePr>
        <xdr:cNvPr id="5" name="Diagramm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994834</xdr:colOff>
      <xdr:row>3</xdr:row>
      <xdr:rowOff>128360</xdr:rowOff>
    </xdr:to>
    <xdr:pic>
      <xdr:nvPicPr>
        <xdr:cNvPr id="3" name="Imagem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771EC37-3147-4AE2-BFD7-FEE7D0A1CA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" y="0"/>
          <a:ext cx="1365250" cy="604610"/>
        </a:xfrm>
        <a:prstGeom prst="rect">
          <a:avLst/>
        </a:prstGeom>
      </xdr:spPr>
    </xdr:pic>
    <xdr:clientData/>
  </xdr:twoCellAnchor>
  <xdr:twoCellAnchor>
    <xdr:from>
      <xdr:col>6</xdr:col>
      <xdr:colOff>243417</xdr:colOff>
      <xdr:row>0</xdr:row>
      <xdr:rowOff>10584</xdr:rowOff>
    </xdr:from>
    <xdr:to>
      <xdr:col>8</xdr:col>
      <xdr:colOff>300567</xdr:colOff>
      <xdr:row>4</xdr:row>
      <xdr:rowOff>51859</xdr:rowOff>
    </xdr:to>
    <xdr:sp macro="" textlink="">
      <xdr:nvSpPr>
        <xdr:cNvPr id="6" name="Seta: para a Direita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76B75E1-37B5-43A9-B7DA-B9E815DD241C}"/>
            </a:ext>
          </a:extLst>
        </xdr:cNvPr>
        <xdr:cNvSpPr/>
      </xdr:nvSpPr>
      <xdr:spPr>
        <a:xfrm rot="10800000">
          <a:off x="5672667" y="10584"/>
          <a:ext cx="1200150" cy="676275"/>
        </a:xfrm>
        <a:prstGeom prst="righ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5"/>
  <sheetViews>
    <sheetView showRowColHeaders="0" tabSelected="1" workbookViewId="0"/>
  </sheetViews>
  <sheetFormatPr defaultColWidth="10.875" defaultRowHeight="12.75" x14ac:dyDescent="0.2"/>
  <cols>
    <col min="1" max="1" width="4.875" style="1" customWidth="1"/>
    <col min="2" max="2" width="10.875" style="1"/>
    <col min="3" max="3" width="54.5" style="1" customWidth="1"/>
    <col min="4" max="4" width="11.5" style="1" customWidth="1"/>
    <col min="5" max="5" width="4.875" style="1" customWidth="1"/>
    <col min="6" max="16384" width="10.875" style="1"/>
  </cols>
  <sheetData>
    <row r="1" spans="1:6" x14ac:dyDescent="0.2">
      <c r="B1" s="2"/>
      <c r="C1" s="2"/>
      <c r="D1" s="2"/>
      <c r="E1" s="2"/>
    </row>
    <row r="2" spans="1:6" x14ac:dyDescent="0.2">
      <c r="B2" s="2"/>
      <c r="C2" s="2"/>
      <c r="D2" s="2"/>
      <c r="E2" s="2"/>
    </row>
    <row r="3" spans="1:6" ht="13.9" customHeight="1" x14ac:dyDescent="0.2">
      <c r="B3" s="2"/>
      <c r="C3" s="2"/>
      <c r="D3" s="2"/>
      <c r="E3" s="2"/>
    </row>
    <row r="4" spans="1:6" ht="25.5" x14ac:dyDescent="0.35">
      <c r="A4" s="163"/>
      <c r="B4" s="163"/>
      <c r="C4" s="108" t="s">
        <v>34</v>
      </c>
      <c r="D4" s="163"/>
      <c r="E4" s="163"/>
      <c r="F4" s="163"/>
    </row>
    <row r="5" spans="1:6" ht="25.5" x14ac:dyDescent="0.35">
      <c r="A5" s="163"/>
      <c r="B5" s="163"/>
      <c r="C5" s="108" t="s">
        <v>35</v>
      </c>
      <c r="D5" s="163"/>
      <c r="E5" s="163"/>
      <c r="F5" s="163"/>
    </row>
    <row r="6" spans="1:6" x14ac:dyDescent="0.2">
      <c r="B6" s="2"/>
      <c r="C6" s="2"/>
      <c r="D6" s="2"/>
      <c r="E6" s="2"/>
    </row>
    <row r="7" spans="1:6" x14ac:dyDescent="0.2">
      <c r="B7" s="2"/>
      <c r="C7" s="3"/>
      <c r="D7" s="2"/>
      <c r="E7" s="2"/>
    </row>
    <row r="8" spans="1:6" ht="18" x14ac:dyDescent="0.25">
      <c r="B8" s="2"/>
      <c r="C8" s="4" t="s">
        <v>37</v>
      </c>
      <c r="D8" s="2"/>
      <c r="E8" s="2"/>
    </row>
    <row r="9" spans="1:6" x14ac:dyDescent="0.2">
      <c r="B9" s="2"/>
      <c r="C9" s="5"/>
      <c r="D9" s="2"/>
      <c r="E9" s="2"/>
    </row>
    <row r="10" spans="1:6" x14ac:dyDescent="0.2">
      <c r="B10" s="2"/>
      <c r="C10" s="5"/>
      <c r="D10" s="2"/>
      <c r="E10" s="2"/>
    </row>
    <row r="11" spans="1:6" x14ac:dyDescent="0.2">
      <c r="B11" s="2"/>
      <c r="C11" s="5"/>
      <c r="D11" s="2"/>
      <c r="E11" s="2"/>
    </row>
    <row r="12" spans="1:6" x14ac:dyDescent="0.2">
      <c r="B12" s="2"/>
      <c r="C12" s="5"/>
      <c r="D12" s="2"/>
      <c r="E12" s="2"/>
    </row>
    <row r="13" spans="1:6" x14ac:dyDescent="0.2">
      <c r="B13" s="2"/>
      <c r="C13" s="3"/>
      <c r="D13" s="2"/>
      <c r="E13" s="2"/>
    </row>
    <row r="14" spans="1:6" x14ac:dyDescent="0.2">
      <c r="B14" s="2"/>
      <c r="C14" s="6"/>
      <c r="D14" s="2"/>
      <c r="E14" s="2"/>
    </row>
    <row r="15" spans="1:6" x14ac:dyDescent="0.2">
      <c r="B15" s="2"/>
      <c r="C15" s="2"/>
      <c r="D15" s="2"/>
      <c r="E15" s="2"/>
    </row>
    <row r="16" spans="1:6" x14ac:dyDescent="0.2">
      <c r="A16" s="7" t="s">
        <v>36</v>
      </c>
      <c r="B16" s="2"/>
      <c r="C16" s="8">
        <v>42203</v>
      </c>
      <c r="D16" s="2"/>
      <c r="E16" s="2"/>
    </row>
    <row r="17" spans="2:5" x14ac:dyDescent="0.2">
      <c r="B17" s="9"/>
      <c r="C17" s="9"/>
      <c r="D17" s="9"/>
      <c r="E17" s="2"/>
    </row>
    <row r="18" spans="2:5" x14ac:dyDescent="0.2">
      <c r="B18" s="2"/>
      <c r="C18" s="2"/>
      <c r="D18" s="2"/>
      <c r="E18" s="2"/>
    </row>
    <row r="19" spans="2:5" x14ac:dyDescent="0.2">
      <c r="B19" s="2"/>
      <c r="C19" s="2"/>
      <c r="D19" s="2"/>
      <c r="E19" s="2"/>
    </row>
    <row r="20" spans="2:5" ht="76.5" x14ac:dyDescent="0.2">
      <c r="B20" s="2"/>
      <c r="C20" s="164" t="s">
        <v>133</v>
      </c>
      <c r="D20" s="2"/>
      <c r="E20" s="2"/>
    </row>
    <row r="21" spans="2:5" x14ac:dyDescent="0.2">
      <c r="B21" s="2"/>
      <c r="C21" s="2"/>
      <c r="D21" s="2"/>
      <c r="E21" s="2"/>
    </row>
    <row r="22" spans="2:5" x14ac:dyDescent="0.2">
      <c r="B22" s="2"/>
      <c r="D22" s="2"/>
      <c r="E22" s="2"/>
    </row>
    <row r="23" spans="2:5" x14ac:dyDescent="0.2">
      <c r="B23" s="2"/>
      <c r="C23" s="2"/>
      <c r="D23" s="2"/>
      <c r="E23" s="2"/>
    </row>
    <row r="24" spans="2:5" x14ac:dyDescent="0.2">
      <c r="B24" s="165"/>
      <c r="C24" s="165"/>
      <c r="D24" s="165"/>
      <c r="E24" s="2"/>
    </row>
    <row r="25" spans="2:5" x14ac:dyDescent="0.2">
      <c r="B25" s="2"/>
      <c r="C25" s="2"/>
      <c r="D25" s="2"/>
      <c r="E25" s="2"/>
    </row>
    <row r="26" spans="2:5" x14ac:dyDescent="0.2">
      <c r="B26" s="2"/>
      <c r="C26" s="2"/>
      <c r="D26" s="2"/>
      <c r="E26" s="2"/>
    </row>
    <row r="27" spans="2:5" x14ac:dyDescent="0.2">
      <c r="B27" s="2"/>
      <c r="C27" s="2"/>
      <c r="D27" s="2"/>
      <c r="E27" s="2"/>
    </row>
    <row r="28" spans="2:5" x14ac:dyDescent="0.2">
      <c r="B28" s="2"/>
      <c r="C28" s="2"/>
      <c r="D28" s="2"/>
      <c r="E28" s="2"/>
    </row>
    <row r="29" spans="2:5" x14ac:dyDescent="0.2">
      <c r="B29" s="2"/>
      <c r="C29" s="10"/>
      <c r="D29" s="2"/>
      <c r="E29" s="2"/>
    </row>
    <row r="30" spans="2:5" x14ac:dyDescent="0.2">
      <c r="B30" s="2"/>
      <c r="C30" s="2"/>
      <c r="D30" s="2"/>
      <c r="E30" s="2"/>
    </row>
    <row r="31" spans="2:5" x14ac:dyDescent="0.2">
      <c r="B31" s="11"/>
      <c r="C31" s="11"/>
      <c r="D31" s="11"/>
      <c r="E31" s="2"/>
    </row>
    <row r="32" spans="2:5" x14ac:dyDescent="0.2">
      <c r="B32" s="2"/>
      <c r="C32" s="2"/>
      <c r="D32" s="2"/>
      <c r="E32" s="2"/>
    </row>
    <row r="33" spans="2:5" x14ac:dyDescent="0.2">
      <c r="B33" s="2"/>
      <c r="C33" s="3"/>
      <c r="D33" s="2"/>
      <c r="E33" s="2"/>
    </row>
    <row r="34" spans="2:5" x14ac:dyDescent="0.2">
      <c r="B34" s="2"/>
      <c r="C34" s="2"/>
      <c r="D34" s="2"/>
      <c r="E34" s="2"/>
    </row>
    <row r="35" spans="2:5" x14ac:dyDescent="0.2">
      <c r="B35" s="2"/>
      <c r="C35" s="2"/>
      <c r="D35" s="2"/>
      <c r="E35" s="2"/>
    </row>
  </sheetData>
  <sheetProtection algorithmName="SHA-512" hashValue="2Esd/cEjvrn3EsRidN7bPvJkuDdwW/nzNXqwXXGN/LvppNS5yfSY5Mn00R6IlIhGLt37SpGx8e/xEfsH+J6qxA==" saltValue="mUi0dv0kNruLYPOSLDRC7w==" spinCount="100000" sheet="1" objects="1" scenarios="1"/>
  <mergeCells count="1">
    <mergeCell ref="B24:D24"/>
  </mergeCells>
  <phoneticPr fontId="2" type="noConversion"/>
  <pageMargins left="0.75000000000000011" right="0.75000000000000011" top="1" bottom="1" header="0.5" footer="0.5"/>
  <pageSetup paperSize="9" scale="58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5:M219"/>
  <sheetViews>
    <sheetView showGridLines="0" showRowColHeaders="0" zoomScale="90" zoomScaleNormal="90" workbookViewId="0"/>
  </sheetViews>
  <sheetFormatPr defaultColWidth="8.125" defaultRowHeight="12.75" x14ac:dyDescent="0.2"/>
  <cols>
    <col min="1" max="1" width="4.875" style="25" customWidth="1"/>
    <col min="2" max="2" width="36.125" style="25" bestFit="1" customWidth="1"/>
    <col min="3" max="3" width="7.75" style="146" bestFit="1" customWidth="1"/>
    <col min="4" max="10" width="7.5" style="25" bestFit="1" customWidth="1"/>
    <col min="11" max="11" width="10.5" style="25" bestFit="1" customWidth="1"/>
    <col min="12" max="12" width="4.875" style="25" customWidth="1"/>
    <col min="13" max="67" width="8.125" style="25"/>
    <col min="68" max="102" width="8.125" style="25" customWidth="1"/>
    <col min="103" max="16384" width="8.125" style="25"/>
  </cols>
  <sheetData>
    <row r="5" spans="2:11" s="12" customFormat="1" x14ac:dyDescent="0.2">
      <c r="B5" s="13" t="str">
        <f>Menu!C8</f>
        <v>Modelo de Fluxo de Caixa Descontado</v>
      </c>
      <c r="C5" s="121"/>
      <c r="K5" s="14">
        <f>+Menu!C16</f>
        <v>42203</v>
      </c>
    </row>
    <row r="6" spans="2:11" s="12" customFormat="1" x14ac:dyDescent="0.2">
      <c r="B6" s="15"/>
      <c r="C6" s="15"/>
      <c r="D6" s="15"/>
      <c r="E6" s="15"/>
      <c r="F6" s="15"/>
      <c r="G6" s="15"/>
      <c r="H6" s="15"/>
      <c r="I6" s="15"/>
      <c r="J6" s="15"/>
      <c r="K6" s="15">
        <f>Menu!C33</f>
        <v>0</v>
      </c>
    </row>
    <row r="7" spans="2:11" s="12" customFormat="1" x14ac:dyDescent="0.2">
      <c r="C7" s="121"/>
    </row>
    <row r="8" spans="2:11" s="12" customFormat="1" x14ac:dyDescent="0.2">
      <c r="C8" s="121"/>
    </row>
    <row r="9" spans="2:11" s="12" customFormat="1" x14ac:dyDescent="0.2">
      <c r="B9" s="78" t="str">
        <f>"Todos os valores em milhares "&amp;$K$13</f>
        <v>Todos os valores em milhares R$</v>
      </c>
      <c r="C9" s="122"/>
      <c r="D9" s="79"/>
      <c r="E9" s="79"/>
      <c r="F9" s="79"/>
      <c r="G9" s="79"/>
      <c r="H9" s="80"/>
      <c r="I9" s="81"/>
      <c r="J9" s="81"/>
      <c r="K9" s="81"/>
    </row>
    <row r="10" spans="2:11" s="12" customFormat="1" x14ac:dyDescent="0.2">
      <c r="B10" s="81" t="s">
        <v>39</v>
      </c>
      <c r="C10" s="123"/>
      <c r="D10" s="81"/>
      <c r="E10" s="81"/>
      <c r="F10" s="81"/>
      <c r="G10" s="81"/>
      <c r="H10" s="81"/>
      <c r="I10" s="81"/>
      <c r="J10" s="81"/>
      <c r="K10" s="81"/>
    </row>
    <row r="11" spans="2:11" s="12" customFormat="1" x14ac:dyDescent="0.2">
      <c r="B11" s="20"/>
      <c r="C11" s="124"/>
      <c r="D11" s="18"/>
      <c r="E11" s="18"/>
      <c r="F11" s="18"/>
      <c r="G11" s="18"/>
      <c r="H11" s="21"/>
      <c r="I11" s="22"/>
      <c r="J11" s="20"/>
      <c r="K11" s="23"/>
    </row>
    <row r="12" spans="2:11" s="12" customFormat="1" ht="13.5" thickBot="1" x14ac:dyDescent="0.25">
      <c r="B12" s="20" t="s">
        <v>40</v>
      </c>
      <c r="C12" s="124"/>
      <c r="D12" s="18"/>
      <c r="E12" s="18"/>
      <c r="F12" s="18"/>
      <c r="G12" s="18"/>
      <c r="H12" s="21"/>
      <c r="I12" s="22"/>
      <c r="J12" s="20"/>
      <c r="K12" s="23"/>
    </row>
    <row r="13" spans="2:11" s="12" customFormat="1" ht="13.5" thickBot="1" x14ac:dyDescent="0.25">
      <c r="B13" s="18" t="s">
        <v>41</v>
      </c>
      <c r="C13" s="68"/>
      <c r="D13" s="18"/>
      <c r="E13" s="18"/>
      <c r="F13" s="18"/>
      <c r="G13" s="18"/>
      <c r="H13" s="18"/>
      <c r="I13" s="18"/>
      <c r="J13" s="20"/>
      <c r="K13" s="110" t="s">
        <v>38</v>
      </c>
    </row>
    <row r="14" spans="2:11" s="12" customFormat="1" ht="13.5" thickBot="1" x14ac:dyDescent="0.25">
      <c r="B14" s="18" t="s">
        <v>42</v>
      </c>
      <c r="C14" s="68"/>
      <c r="D14" s="18"/>
      <c r="E14" s="18"/>
      <c r="F14" s="18"/>
      <c r="G14" s="18"/>
      <c r="H14" s="18"/>
      <c r="I14" s="18" t="s">
        <v>43</v>
      </c>
      <c r="J14" s="22"/>
      <c r="K14" s="110">
        <v>2020</v>
      </c>
    </row>
    <row r="15" spans="2:11" s="12" customFormat="1" ht="13.5" thickBot="1" x14ac:dyDescent="0.25">
      <c r="B15" s="22" t="s">
        <v>64</v>
      </c>
      <c r="C15" s="23"/>
      <c r="D15" s="18"/>
      <c r="E15" s="22"/>
      <c r="F15" s="18"/>
      <c r="G15" s="18"/>
      <c r="H15" s="18"/>
      <c r="I15" s="22" t="s">
        <v>7</v>
      </c>
      <c r="J15" s="18"/>
      <c r="K15" s="111">
        <v>0.04</v>
      </c>
    </row>
    <row r="16" spans="2:11" s="12" customFormat="1" ht="13.5" thickBot="1" x14ac:dyDescent="0.25">
      <c r="B16" s="77" t="s">
        <v>20</v>
      </c>
      <c r="C16" s="23"/>
      <c r="D16" s="18"/>
      <c r="E16" s="22"/>
      <c r="F16" s="18"/>
      <c r="G16" s="18"/>
      <c r="H16" s="18"/>
      <c r="I16" s="22" t="s">
        <v>7</v>
      </c>
      <c r="J16" s="18"/>
      <c r="K16" s="111">
        <v>0.34</v>
      </c>
    </row>
    <row r="17" spans="2:11" s="12" customFormat="1" ht="13.5" thickBot="1" x14ac:dyDescent="0.25">
      <c r="B17" s="18" t="s">
        <v>46</v>
      </c>
      <c r="C17" s="68"/>
      <c r="D17" s="18"/>
      <c r="E17" s="18"/>
      <c r="F17" s="18"/>
      <c r="G17" s="18"/>
      <c r="H17" s="18"/>
      <c r="I17" s="166" t="s">
        <v>44</v>
      </c>
      <c r="J17" s="167"/>
      <c r="K17" s="112">
        <v>60</v>
      </c>
    </row>
    <row r="18" spans="2:11" s="12" customFormat="1" ht="13.5" thickBot="1" x14ac:dyDescent="0.25">
      <c r="B18" s="18" t="s">
        <v>47</v>
      </c>
      <c r="C18" s="68"/>
      <c r="D18" s="18"/>
      <c r="E18" s="18"/>
      <c r="F18" s="18"/>
      <c r="G18" s="18"/>
      <c r="H18" s="18"/>
      <c r="I18" s="166" t="s">
        <v>45</v>
      </c>
      <c r="J18" s="167"/>
      <c r="K18" s="112">
        <v>70</v>
      </c>
    </row>
    <row r="19" spans="2:11" s="12" customFormat="1" ht="13.5" thickBot="1" x14ac:dyDescent="0.25">
      <c r="B19" s="18" t="s">
        <v>48</v>
      </c>
      <c r="C19" s="68"/>
      <c r="D19" s="18"/>
      <c r="E19" s="18"/>
      <c r="F19" s="18"/>
      <c r="G19" s="18"/>
      <c r="H19" s="18"/>
      <c r="I19" s="166" t="s">
        <v>45</v>
      </c>
      <c r="J19" s="167"/>
      <c r="K19" s="112">
        <v>45</v>
      </c>
    </row>
    <row r="20" spans="2:11" s="12" customFormat="1" x14ac:dyDescent="0.2">
      <c r="C20" s="121"/>
    </row>
    <row r="21" spans="2:11" s="12" customFormat="1" x14ac:dyDescent="0.2">
      <c r="B21" s="16" t="str">
        <f>+B9</f>
        <v>Todos os valores em milhares R$</v>
      </c>
      <c r="C21" s="125"/>
      <c r="D21" s="16"/>
      <c r="E21" s="16"/>
    </row>
    <row r="22" spans="2:11" x14ac:dyDescent="0.2">
      <c r="B22" s="84" t="s">
        <v>49</v>
      </c>
      <c r="C22" s="126" t="s">
        <v>4</v>
      </c>
      <c r="D22" s="85">
        <f>E22-1</f>
        <v>2017</v>
      </c>
      <c r="E22" s="85">
        <f>F22-1</f>
        <v>2018</v>
      </c>
      <c r="F22" s="85">
        <f t="shared" ref="F22:K22" si="0">F$38</f>
        <v>2019</v>
      </c>
      <c r="G22" s="86">
        <f t="shared" si="0"/>
        <v>2020</v>
      </c>
      <c r="H22" s="86">
        <f t="shared" si="0"/>
        <v>2021</v>
      </c>
      <c r="I22" s="86">
        <f t="shared" si="0"/>
        <v>2022</v>
      </c>
      <c r="J22" s="86">
        <f t="shared" si="0"/>
        <v>2023</v>
      </c>
      <c r="K22" s="86">
        <f t="shared" si="0"/>
        <v>2024</v>
      </c>
    </row>
    <row r="23" spans="2:11" x14ac:dyDescent="0.2">
      <c r="B23" s="22"/>
      <c r="C23" s="23"/>
      <c r="D23" s="22"/>
      <c r="E23" s="22"/>
      <c r="F23" s="18"/>
      <c r="G23" s="18"/>
      <c r="H23" s="18"/>
      <c r="I23" s="18"/>
      <c r="J23" s="18"/>
      <c r="K23" s="18"/>
    </row>
    <row r="24" spans="2:11" ht="13.5" thickBot="1" x14ac:dyDescent="0.25">
      <c r="B24" s="18" t="s">
        <v>50</v>
      </c>
      <c r="C24" s="127" t="str">
        <f>Projeções!$K$13</f>
        <v>R$</v>
      </c>
      <c r="D24" s="114">
        <v>200000</v>
      </c>
      <c r="E24" s="105">
        <f t="shared" ref="E24:K24" si="1">E95</f>
        <v>3337500</v>
      </c>
      <c r="F24" s="105">
        <f t="shared" si="1"/>
        <v>3079500</v>
      </c>
      <c r="G24" s="105">
        <f t="shared" si="1"/>
        <v>2697319.086757991</v>
      </c>
      <c r="H24" s="105">
        <f t="shared" si="1"/>
        <v>2482445.7077625571</v>
      </c>
      <c r="I24" s="105">
        <f t="shared" si="1"/>
        <v>2574681.3264840185</v>
      </c>
      <c r="J24" s="105">
        <f t="shared" si="1"/>
        <v>2525204.0594748859</v>
      </c>
      <c r="K24" s="105">
        <f t="shared" si="1"/>
        <v>2648670.9291152973</v>
      </c>
    </row>
    <row r="25" spans="2:11" ht="13.5" thickBot="1" x14ac:dyDescent="0.25">
      <c r="B25" s="18" t="s">
        <v>51</v>
      </c>
      <c r="C25" s="127" t="str">
        <f>Projeções!$K$13</f>
        <v>R$</v>
      </c>
      <c r="D25" s="115">
        <v>600000</v>
      </c>
      <c r="E25" s="113">
        <v>550000</v>
      </c>
      <c r="F25" s="113">
        <v>600000</v>
      </c>
      <c r="G25" s="105">
        <f>Projeções!$K17/365*Projeções!G40</f>
        <v>904109.58904109581</v>
      </c>
      <c r="H25" s="105">
        <f>Projeções!$K$17/365*Projeções!H40</f>
        <v>949315.06849315064</v>
      </c>
      <c r="I25" s="105">
        <f>Projeções!$K$17/365*Projeções!I40</f>
        <v>996780.82191780815</v>
      </c>
      <c r="J25" s="105">
        <f>Projeções!$K$17/365*Projeções!J40</f>
        <v>1046619.8630136986</v>
      </c>
      <c r="K25" s="105">
        <f>Projeções!$K$17/365*Projeções!K40</f>
        <v>1098950.8561643835</v>
      </c>
    </row>
    <row r="26" spans="2:11" ht="13.5" thickBot="1" x14ac:dyDescent="0.25">
      <c r="B26" s="18" t="s">
        <v>52</v>
      </c>
      <c r="C26" s="127" t="str">
        <f>Projeções!$K$13</f>
        <v>R$</v>
      </c>
      <c r="D26" s="115">
        <v>450000</v>
      </c>
      <c r="E26" s="113">
        <v>550000</v>
      </c>
      <c r="F26" s="113">
        <v>600000</v>
      </c>
      <c r="G26" s="105">
        <f>-Projeções!$K18/365*Projeções!G43</f>
        <v>569589.04109589034</v>
      </c>
      <c r="H26" s="105">
        <f>-Projeções!$K18/365*Projeções!H43</f>
        <v>598068.49315068487</v>
      </c>
      <c r="I26" s="105">
        <f>-Projeções!$K18/365*Projeções!I43</f>
        <v>627971.91780821909</v>
      </c>
      <c r="J26" s="105">
        <f>-Projeções!$K18/365*Projeções!J43</f>
        <v>659370.51369863015</v>
      </c>
      <c r="K26" s="105">
        <f>-Projeções!$K18/365*Projeções!K43</f>
        <v>692339.03938356158</v>
      </c>
    </row>
    <row r="27" spans="2:11" ht="13.5" thickBot="1" x14ac:dyDescent="0.25">
      <c r="B27" s="18" t="s">
        <v>53</v>
      </c>
      <c r="C27" s="127" t="str">
        <f>Projeções!$K$13</f>
        <v>R$</v>
      </c>
      <c r="D27" s="116">
        <v>1900000</v>
      </c>
      <c r="E27" s="113">
        <v>2000000</v>
      </c>
      <c r="F27" s="113">
        <v>2300000</v>
      </c>
      <c r="G27" s="105">
        <f>G117</f>
        <v>2596666.6666666665</v>
      </c>
      <c r="H27" s="105">
        <f>H117</f>
        <v>2913333.3333333335</v>
      </c>
      <c r="I27" s="105">
        <f>I117</f>
        <v>3096666.6666666665</v>
      </c>
      <c r="J27" s="105">
        <f>J117</f>
        <v>3353333.333333333</v>
      </c>
      <c r="K27" s="105">
        <f>K117</f>
        <v>3353333.333333333</v>
      </c>
    </row>
    <row r="28" spans="2:11" x14ac:dyDescent="0.2">
      <c r="B28" s="29" t="s">
        <v>54</v>
      </c>
      <c r="C28" s="128" t="str">
        <f>Projeções!$K$13</f>
        <v>R$</v>
      </c>
      <c r="D28" s="106">
        <f t="shared" ref="D28:K28" si="2">SUM(D24:D27)</f>
        <v>3150000</v>
      </c>
      <c r="E28" s="106">
        <f t="shared" si="2"/>
        <v>6437500</v>
      </c>
      <c r="F28" s="106">
        <f t="shared" si="2"/>
        <v>6579500</v>
      </c>
      <c r="G28" s="106">
        <f t="shared" si="2"/>
        <v>6767684.3835616428</v>
      </c>
      <c r="H28" s="106">
        <f t="shared" si="2"/>
        <v>6943162.6027397262</v>
      </c>
      <c r="I28" s="106">
        <f t="shared" si="2"/>
        <v>7296100.7328767125</v>
      </c>
      <c r="J28" s="106">
        <f t="shared" si="2"/>
        <v>7584527.7695205482</v>
      </c>
      <c r="K28" s="106">
        <f t="shared" si="2"/>
        <v>7793294.1579965753</v>
      </c>
    </row>
    <row r="29" spans="2:11" ht="13.5" thickBot="1" x14ac:dyDescent="0.25">
      <c r="B29" s="18"/>
      <c r="C29" s="68"/>
      <c r="D29" s="57"/>
      <c r="E29" s="57"/>
      <c r="F29" s="57"/>
      <c r="G29" s="57"/>
      <c r="H29" s="57"/>
      <c r="I29" s="57"/>
      <c r="J29" s="57"/>
      <c r="K29" s="57"/>
    </row>
    <row r="30" spans="2:11" ht="13.5" thickBot="1" x14ac:dyDescent="0.25">
      <c r="B30" s="71" t="s">
        <v>55</v>
      </c>
      <c r="C30" s="127" t="str">
        <f>Projeções!$K$13</f>
        <v>R$</v>
      </c>
      <c r="D30" s="113">
        <v>230000</v>
      </c>
      <c r="E30" s="113">
        <v>330000</v>
      </c>
      <c r="F30" s="113">
        <v>450000</v>
      </c>
      <c r="G30" s="105">
        <f>-Projeções!$K19/365*Projeções!G43</f>
        <v>366164.38356164383</v>
      </c>
      <c r="H30" s="105">
        <f>-Projeções!$K19/365*Projeções!H43</f>
        <v>384472.60273972602</v>
      </c>
      <c r="I30" s="105">
        <f>-Projeções!$K19/365*Projeções!I43</f>
        <v>403696.23287671228</v>
      </c>
      <c r="J30" s="105">
        <f>-Projeções!$K19/365*Projeções!J43</f>
        <v>423881.0445205479</v>
      </c>
      <c r="K30" s="105">
        <f>-Projeções!$K19/365*Projeções!K43</f>
        <v>445075.09674657532</v>
      </c>
    </row>
    <row r="31" spans="2:11" ht="13.5" thickBot="1" x14ac:dyDescent="0.25">
      <c r="B31" s="18" t="s">
        <v>56</v>
      </c>
      <c r="C31" s="127" t="str">
        <f>Projeções!$K$13</f>
        <v>R$</v>
      </c>
      <c r="D31" s="113">
        <v>1500000</v>
      </c>
      <c r="E31" s="113">
        <v>4000000</v>
      </c>
      <c r="F31" s="113">
        <v>3500000</v>
      </c>
      <c r="G31" s="113">
        <v>3400000</v>
      </c>
      <c r="H31" s="105">
        <f>G31+H86</f>
        <v>3200000</v>
      </c>
      <c r="I31" s="105">
        <f>H31+I86</f>
        <v>3000000</v>
      </c>
      <c r="J31" s="105">
        <f>I31+J86</f>
        <v>2800000</v>
      </c>
      <c r="K31" s="105">
        <f>J31+K86</f>
        <v>2600000</v>
      </c>
    </row>
    <row r="32" spans="2:11" x14ac:dyDescent="0.2">
      <c r="B32" s="18" t="s">
        <v>57</v>
      </c>
      <c r="C32" s="127" t="str">
        <f>Projeções!$K$13</f>
        <v>R$</v>
      </c>
      <c r="D32" s="105">
        <f>D28-SUM(D30:D31)</f>
        <v>1420000</v>
      </c>
      <c r="E32" s="105">
        <f>E28-SUM(E30:E31)</f>
        <v>2107500</v>
      </c>
      <c r="F32" s="105">
        <f>F28-SUM(F30:F31)</f>
        <v>2629500</v>
      </c>
      <c r="G32" s="105">
        <f>F32+G65+G88+G89</f>
        <v>3001520</v>
      </c>
      <c r="H32" s="105">
        <f>G32+H65+H88+H89</f>
        <v>3358690</v>
      </c>
      <c r="I32" s="105">
        <f>H32+I65+I88+I89</f>
        <v>3892404.5</v>
      </c>
      <c r="J32" s="105">
        <f>I32+J65+J88+J89</f>
        <v>4360646.7249999996</v>
      </c>
      <c r="K32" s="105">
        <f>J32+K65+K88+K89</f>
        <v>4748219.0612499993</v>
      </c>
    </row>
    <row r="33" spans="2:11" x14ac:dyDescent="0.2">
      <c r="B33" s="29" t="s">
        <v>58</v>
      </c>
      <c r="C33" s="128" t="str">
        <f>Projeções!$K$13</f>
        <v>R$</v>
      </c>
      <c r="D33" s="106">
        <f t="shared" ref="D33:K33" si="3">SUM(D30:D32)</f>
        <v>3150000</v>
      </c>
      <c r="E33" s="106">
        <f t="shared" si="3"/>
        <v>6437500</v>
      </c>
      <c r="F33" s="106">
        <f t="shared" si="3"/>
        <v>6579500</v>
      </c>
      <c r="G33" s="106">
        <f t="shared" si="3"/>
        <v>6767684.3835616438</v>
      </c>
      <c r="H33" s="106">
        <f t="shared" si="3"/>
        <v>6943162.6027397262</v>
      </c>
      <c r="I33" s="106">
        <f t="shared" si="3"/>
        <v>7296100.7328767125</v>
      </c>
      <c r="J33" s="106">
        <f t="shared" si="3"/>
        <v>7584527.7695205472</v>
      </c>
      <c r="K33" s="106">
        <f t="shared" si="3"/>
        <v>7793294.1579965744</v>
      </c>
    </row>
    <row r="34" spans="2:11" x14ac:dyDescent="0.2">
      <c r="B34" s="59" t="s">
        <v>132</v>
      </c>
      <c r="C34" s="129"/>
      <c r="D34" s="104">
        <f t="shared" ref="D34:K34" si="4">D28-D33</f>
        <v>0</v>
      </c>
      <c r="E34" s="104">
        <f t="shared" si="4"/>
        <v>0</v>
      </c>
      <c r="F34" s="104">
        <f t="shared" si="4"/>
        <v>0</v>
      </c>
      <c r="G34" s="104">
        <f t="shared" si="4"/>
        <v>0</v>
      </c>
      <c r="H34" s="104">
        <f t="shared" si="4"/>
        <v>0</v>
      </c>
      <c r="I34" s="104">
        <f t="shared" si="4"/>
        <v>0</v>
      </c>
      <c r="J34" s="104">
        <f t="shared" si="4"/>
        <v>0</v>
      </c>
      <c r="K34" s="104">
        <f t="shared" si="4"/>
        <v>0</v>
      </c>
    </row>
    <row r="35" spans="2:11" x14ac:dyDescent="0.2">
      <c r="B35" s="71"/>
      <c r="C35" s="130"/>
      <c r="D35" s="71"/>
      <c r="E35" s="71"/>
      <c r="F35" s="18"/>
      <c r="G35" s="103"/>
      <c r="H35" s="103"/>
      <c r="I35" s="103"/>
      <c r="J35" s="103"/>
      <c r="K35" s="103"/>
    </row>
    <row r="36" spans="2:11" x14ac:dyDescent="0.2">
      <c r="B36" s="12"/>
      <c r="C36" s="121"/>
      <c r="D36" s="12"/>
      <c r="E36" s="12"/>
      <c r="F36" s="12"/>
      <c r="G36" s="12"/>
      <c r="H36" s="12"/>
      <c r="I36" s="12"/>
      <c r="J36" s="12"/>
      <c r="K36" s="12"/>
    </row>
    <row r="37" spans="2:11" x14ac:dyDescent="0.2">
      <c r="B37" s="16" t="str">
        <f>+B21</f>
        <v>Todos os valores em milhares R$</v>
      </c>
      <c r="C37" s="131"/>
      <c r="D37" s="32"/>
      <c r="E37" s="32"/>
      <c r="F37" s="12"/>
      <c r="G37" s="12"/>
      <c r="H37" s="12"/>
      <c r="I37" s="12"/>
      <c r="J37" s="12"/>
      <c r="K37" s="12"/>
    </row>
    <row r="38" spans="2:11" x14ac:dyDescent="0.2">
      <c r="B38" s="19" t="s">
        <v>59</v>
      </c>
      <c r="C38" s="132" t="s">
        <v>4</v>
      </c>
      <c r="D38" s="82">
        <f>E38-1</f>
        <v>2017</v>
      </c>
      <c r="E38" s="82">
        <f>F38-1</f>
        <v>2018</v>
      </c>
      <c r="F38" s="82">
        <f>G38-1</f>
        <v>2019</v>
      </c>
      <c r="G38" s="83">
        <f>Projeções!K14</f>
        <v>2020</v>
      </c>
      <c r="H38" s="83">
        <f>G38+1</f>
        <v>2021</v>
      </c>
      <c r="I38" s="83">
        <f t="shared" ref="I38:K38" si="5">H38+1</f>
        <v>2022</v>
      </c>
      <c r="J38" s="83">
        <f t="shared" si="5"/>
        <v>2023</v>
      </c>
      <c r="K38" s="83">
        <f t="shared" si="5"/>
        <v>2024</v>
      </c>
    </row>
    <row r="39" spans="2:11" ht="13.5" thickBot="1" x14ac:dyDescent="0.25">
      <c r="B39" s="18"/>
      <c r="C39" s="68"/>
      <c r="D39" s="18"/>
      <c r="E39" s="18"/>
      <c r="F39" s="18"/>
      <c r="G39" s="34"/>
      <c r="H39" s="22"/>
      <c r="I39" s="87"/>
      <c r="J39" s="87"/>
      <c r="K39" s="87"/>
    </row>
    <row r="40" spans="2:11" ht="13.5" thickBot="1" x14ac:dyDescent="0.25">
      <c r="B40" s="29" t="s">
        <v>60</v>
      </c>
      <c r="C40" s="128" t="str">
        <f>Projeções!$K$13</f>
        <v>R$</v>
      </c>
      <c r="D40" s="113">
        <v>3800000</v>
      </c>
      <c r="E40" s="113">
        <v>4500000</v>
      </c>
      <c r="F40" s="113">
        <v>5000000</v>
      </c>
      <c r="G40" s="106">
        <f>F40*(1+G41)</f>
        <v>5500000</v>
      </c>
      <c r="H40" s="106">
        <f t="shared" ref="H40:K40" si="6">G40*(1+H41)</f>
        <v>5775000</v>
      </c>
      <c r="I40" s="106">
        <f t="shared" si="6"/>
        <v>6063750</v>
      </c>
      <c r="J40" s="106">
        <f t="shared" si="6"/>
        <v>6366937.5</v>
      </c>
      <c r="K40" s="106">
        <f t="shared" si="6"/>
        <v>6685284.375</v>
      </c>
    </row>
    <row r="41" spans="2:11" x14ac:dyDescent="0.2">
      <c r="B41" s="88" t="s">
        <v>61</v>
      </c>
      <c r="C41" s="127"/>
      <c r="D41" s="47"/>
      <c r="E41" s="48">
        <f>E40/D40-1</f>
        <v>0.18421052631578938</v>
      </c>
      <c r="F41" s="48">
        <f t="shared" ref="F41" si="7">F40/E40-1</f>
        <v>0.11111111111111116</v>
      </c>
      <c r="G41" s="49">
        <v>0.1</v>
      </c>
      <c r="H41" s="49">
        <v>0.05</v>
      </c>
      <c r="I41" s="49">
        <v>0.05</v>
      </c>
      <c r="J41" s="49">
        <v>0.05</v>
      </c>
      <c r="K41" s="49">
        <v>0.05</v>
      </c>
    </row>
    <row r="42" spans="2:11" ht="13.5" thickBot="1" x14ac:dyDescent="0.25">
      <c r="B42" s="18"/>
      <c r="C42" s="68"/>
      <c r="D42" s="18"/>
      <c r="E42" s="18"/>
      <c r="F42" s="18"/>
      <c r="G42" s="34"/>
      <c r="H42" s="34"/>
      <c r="I42" s="34"/>
      <c r="J42" s="34"/>
      <c r="K42" s="34"/>
    </row>
    <row r="43" spans="2:11" ht="13.5" thickBot="1" x14ac:dyDescent="0.25">
      <c r="B43" s="18" t="s">
        <v>62</v>
      </c>
      <c r="C43" s="127" t="str">
        <f>Projeções!$K$13</f>
        <v>R$</v>
      </c>
      <c r="D43" s="113">
        <v>-1800000</v>
      </c>
      <c r="E43" s="113">
        <v>-2500000</v>
      </c>
      <c r="F43" s="113">
        <v>-2600000</v>
      </c>
      <c r="G43" s="105">
        <f>-(G40-G44)</f>
        <v>-2970000</v>
      </c>
      <c r="H43" s="105">
        <f t="shared" ref="H43:K43" si="8">-(H40-H44)</f>
        <v>-3118500</v>
      </c>
      <c r="I43" s="105">
        <f t="shared" si="8"/>
        <v>-3274425</v>
      </c>
      <c r="J43" s="105">
        <f t="shared" si="8"/>
        <v>-3438146.25</v>
      </c>
      <c r="K43" s="105">
        <f t="shared" si="8"/>
        <v>-3610053.5625</v>
      </c>
    </row>
    <row r="44" spans="2:11" ht="13.5" thickBot="1" x14ac:dyDescent="0.25">
      <c r="B44" s="18" t="s">
        <v>63</v>
      </c>
      <c r="C44" s="127" t="str">
        <f>Projeções!$K$13</f>
        <v>R$</v>
      </c>
      <c r="D44" s="105">
        <f t="shared" ref="D44" si="9">D40+D43</f>
        <v>2000000</v>
      </c>
      <c r="E44" s="105">
        <f t="shared" ref="E44" si="10">E40+E43</f>
        <v>2000000</v>
      </c>
      <c r="F44" s="105">
        <f t="shared" ref="F44" si="11">F40+F43</f>
        <v>2400000</v>
      </c>
      <c r="G44" s="105">
        <f>G40*G45</f>
        <v>2530000</v>
      </c>
      <c r="H44" s="105">
        <f t="shared" ref="H44:K44" si="12">H40*H45</f>
        <v>2656500</v>
      </c>
      <c r="I44" s="105">
        <f t="shared" si="12"/>
        <v>2789325</v>
      </c>
      <c r="J44" s="105">
        <f t="shared" si="12"/>
        <v>2928791.25</v>
      </c>
      <c r="K44" s="105">
        <f t="shared" si="12"/>
        <v>3075230.8125</v>
      </c>
    </row>
    <row r="45" spans="2:11" ht="13.5" thickBot="1" x14ac:dyDescent="0.25">
      <c r="B45" s="88" t="s">
        <v>3</v>
      </c>
      <c r="C45" s="133" t="s">
        <v>3</v>
      </c>
      <c r="D45" s="50">
        <f>IF(ISERR(D44/D$40),"NA",D44/D$40)</f>
        <v>0.52631578947368418</v>
      </c>
      <c r="E45" s="50">
        <f>IF(ISERR(E44/E$40),"NA",E44/E$40)</f>
        <v>0.44444444444444442</v>
      </c>
      <c r="F45" s="50">
        <f>IF(ISERR(F44/F$40),"NA",F44/F$40)</f>
        <v>0.48</v>
      </c>
      <c r="G45" s="117">
        <v>0.46</v>
      </c>
      <c r="H45" s="118">
        <f>G45</f>
        <v>0.46</v>
      </c>
      <c r="I45" s="118">
        <f t="shared" ref="I45:K45" si="13">H45</f>
        <v>0.46</v>
      </c>
      <c r="J45" s="118">
        <f t="shared" si="13"/>
        <v>0.46</v>
      </c>
      <c r="K45" s="118">
        <f t="shared" si="13"/>
        <v>0.46</v>
      </c>
    </row>
    <row r="46" spans="2:11" ht="13.5" thickBot="1" x14ac:dyDescent="0.25">
      <c r="B46" s="18"/>
      <c r="C46" s="68"/>
      <c r="D46" s="18"/>
      <c r="E46" s="18"/>
      <c r="F46" s="18"/>
      <c r="G46" s="34"/>
      <c r="H46" s="34"/>
      <c r="I46" s="34"/>
      <c r="J46" s="34"/>
      <c r="K46" s="34"/>
    </row>
    <row r="47" spans="2:11" ht="13.5" thickBot="1" x14ac:dyDescent="0.25">
      <c r="B47" s="89" t="s">
        <v>65</v>
      </c>
      <c r="C47" s="127" t="str">
        <f>Projeções!$K$13</f>
        <v>R$</v>
      </c>
      <c r="D47" s="113">
        <v>-290000</v>
      </c>
      <c r="E47" s="113">
        <v>-330000</v>
      </c>
      <c r="F47" s="113">
        <v>-450000</v>
      </c>
      <c r="G47" s="113">
        <f>F47*1.02</f>
        <v>-459000</v>
      </c>
      <c r="H47" s="113">
        <v>-500000</v>
      </c>
      <c r="I47" s="113">
        <v>-600000</v>
      </c>
      <c r="J47" s="113">
        <v>-600000</v>
      </c>
      <c r="K47" s="113">
        <v>-690000</v>
      </c>
    </row>
    <row r="48" spans="2:11" ht="13.5" thickBot="1" x14ac:dyDescent="0.25">
      <c r="B48" s="89" t="s">
        <v>66</v>
      </c>
      <c r="C48" s="127" t="str">
        <f>Projeções!$K$13</f>
        <v>R$</v>
      </c>
      <c r="D48" s="113">
        <v>-300000</v>
      </c>
      <c r="E48" s="113">
        <v>-350000</v>
      </c>
      <c r="F48" s="113">
        <v>-800000</v>
      </c>
      <c r="G48" s="113">
        <f t="shared" ref="G48" si="14">F48*1.02</f>
        <v>-816000</v>
      </c>
      <c r="H48" s="113">
        <v>-900000</v>
      </c>
      <c r="I48" s="113">
        <v>-600000</v>
      </c>
      <c r="J48" s="113">
        <v>-800000</v>
      </c>
      <c r="K48" s="113">
        <v>-850000</v>
      </c>
    </row>
    <row r="49" spans="2:12" ht="13.5" thickBot="1" x14ac:dyDescent="0.25">
      <c r="B49" s="89" t="s">
        <v>67</v>
      </c>
      <c r="C49" s="127" t="str">
        <f>Projeções!$K$13</f>
        <v>R$</v>
      </c>
      <c r="D49" s="113">
        <v>-600000</v>
      </c>
      <c r="E49" s="113">
        <v>-330000</v>
      </c>
      <c r="F49" s="113">
        <v>-330000</v>
      </c>
      <c r="G49" s="113">
        <v>-400000</v>
      </c>
      <c r="H49" s="113">
        <v>-400000</v>
      </c>
      <c r="I49" s="113">
        <v>-440000</v>
      </c>
      <c r="J49" s="113">
        <v>-460000</v>
      </c>
      <c r="K49" s="113">
        <v>-440000</v>
      </c>
    </row>
    <row r="50" spans="2:12" x14ac:dyDescent="0.2">
      <c r="B50" s="18" t="s">
        <v>68</v>
      </c>
      <c r="C50" s="127" t="str">
        <f>Projeções!$K$13</f>
        <v>R$</v>
      </c>
      <c r="D50" s="105">
        <f>SUM(D47:D49)</f>
        <v>-1190000</v>
      </c>
      <c r="E50" s="105">
        <f>SUM(E47:E49)</f>
        <v>-1010000</v>
      </c>
      <c r="F50" s="105">
        <f>SUM(F47:F49)</f>
        <v>-1580000</v>
      </c>
      <c r="G50" s="105">
        <f>SUM(G47:G49)</f>
        <v>-1675000</v>
      </c>
      <c r="H50" s="105">
        <f t="shared" ref="H50:K50" si="15">SUM(H47:H49)</f>
        <v>-1800000</v>
      </c>
      <c r="I50" s="105">
        <f t="shared" si="15"/>
        <v>-1640000</v>
      </c>
      <c r="J50" s="105">
        <f t="shared" si="15"/>
        <v>-1860000</v>
      </c>
      <c r="K50" s="105">
        <f t="shared" si="15"/>
        <v>-1980000</v>
      </c>
    </row>
    <row r="51" spans="2:12" x14ac:dyDescent="0.2">
      <c r="B51" s="29" t="s">
        <v>19</v>
      </c>
      <c r="C51" s="128" t="str">
        <f>Projeções!$K$13</f>
        <v>R$</v>
      </c>
      <c r="D51" s="106">
        <f t="shared" ref="D51" si="16">D44+D50</f>
        <v>810000</v>
      </c>
      <c r="E51" s="106">
        <f t="shared" ref="E51" si="17">E44+E50</f>
        <v>990000</v>
      </c>
      <c r="F51" s="106">
        <f t="shared" ref="F51:K51" si="18">F44+F50</f>
        <v>820000</v>
      </c>
      <c r="G51" s="106">
        <f t="shared" si="18"/>
        <v>855000</v>
      </c>
      <c r="H51" s="106">
        <f t="shared" si="18"/>
        <v>856500</v>
      </c>
      <c r="I51" s="106">
        <f t="shared" si="18"/>
        <v>1149325</v>
      </c>
      <c r="J51" s="106">
        <f t="shared" si="18"/>
        <v>1068791.25</v>
      </c>
      <c r="K51" s="106">
        <f t="shared" si="18"/>
        <v>1095230.8125</v>
      </c>
    </row>
    <row r="52" spans="2:12" x14ac:dyDescent="0.2">
      <c r="B52" s="88" t="s">
        <v>3</v>
      </c>
      <c r="C52" s="133" t="s">
        <v>3</v>
      </c>
      <c r="D52" s="50">
        <f t="shared" ref="D52:K52" si="19">IF(ISERR(D51/D$40),"NA",D51/D$40)</f>
        <v>0.2131578947368421</v>
      </c>
      <c r="E52" s="50">
        <f t="shared" si="19"/>
        <v>0.22</v>
      </c>
      <c r="F52" s="50">
        <f t="shared" si="19"/>
        <v>0.16400000000000001</v>
      </c>
      <c r="G52" s="50">
        <f t="shared" si="19"/>
        <v>0.15545454545454546</v>
      </c>
      <c r="H52" s="50">
        <f t="shared" si="19"/>
        <v>0.14831168831168831</v>
      </c>
      <c r="I52" s="50">
        <f t="shared" si="19"/>
        <v>0.18954030096887239</v>
      </c>
      <c r="J52" s="50">
        <f t="shared" si="19"/>
        <v>0.16786583031480989</v>
      </c>
      <c r="K52" s="50">
        <f t="shared" si="19"/>
        <v>0.16382710907492248</v>
      </c>
    </row>
    <row r="53" spans="2:12" ht="13.5" thickBot="1" x14ac:dyDescent="0.25">
      <c r="B53" s="51"/>
      <c r="C53" s="68"/>
      <c r="D53" s="51"/>
      <c r="E53" s="51"/>
      <c r="F53" s="51"/>
      <c r="G53" s="52"/>
      <c r="H53" s="52"/>
      <c r="I53" s="52"/>
      <c r="J53" s="52"/>
      <c r="K53" s="52"/>
    </row>
    <row r="54" spans="2:12" ht="13.5" thickBot="1" x14ac:dyDescent="0.25">
      <c r="B54" s="18" t="s">
        <v>69</v>
      </c>
      <c r="C54" s="127" t="str">
        <f>Projeções!$K$13</f>
        <v>R$</v>
      </c>
      <c r="D54" s="113">
        <v>-200000</v>
      </c>
      <c r="E54" s="113">
        <v>-200000</v>
      </c>
      <c r="F54" s="113">
        <v>-220000</v>
      </c>
      <c r="G54" s="105">
        <f>-G113</f>
        <v>-153333.33333333334</v>
      </c>
      <c r="H54" s="105">
        <f>-H113</f>
        <v>-183333.33333333334</v>
      </c>
      <c r="I54" s="105">
        <f>-I113</f>
        <v>-216666.66666666669</v>
      </c>
      <c r="J54" s="105">
        <f>-J113</f>
        <v>-243333.33333333334</v>
      </c>
      <c r="K54" s="105">
        <f>-K113</f>
        <v>-400000</v>
      </c>
    </row>
    <row r="55" spans="2:12" s="12" customFormat="1" x14ac:dyDescent="0.2">
      <c r="B55" s="29" t="s">
        <v>18</v>
      </c>
      <c r="C55" s="128" t="str">
        <f>Projeções!$K$13</f>
        <v>R$</v>
      </c>
      <c r="D55" s="106">
        <f t="shared" ref="D55" si="20">D51+SUM(D54:D54)</f>
        <v>610000</v>
      </c>
      <c r="E55" s="106">
        <f t="shared" ref="E55" si="21">E51+SUM(E54:E54)</f>
        <v>790000</v>
      </c>
      <c r="F55" s="106">
        <f t="shared" ref="F55:K55" si="22">F51+SUM(F54:F54)</f>
        <v>600000</v>
      </c>
      <c r="G55" s="106">
        <f t="shared" si="22"/>
        <v>701666.66666666663</v>
      </c>
      <c r="H55" s="106">
        <f t="shared" si="22"/>
        <v>673166.66666666663</v>
      </c>
      <c r="I55" s="106">
        <f t="shared" si="22"/>
        <v>932658.33333333326</v>
      </c>
      <c r="J55" s="106">
        <f t="shared" si="22"/>
        <v>825457.91666666663</v>
      </c>
      <c r="K55" s="106">
        <f t="shared" si="22"/>
        <v>695230.8125</v>
      </c>
      <c r="L55" s="18"/>
    </row>
    <row r="56" spans="2:12" s="12" customFormat="1" x14ac:dyDescent="0.2">
      <c r="B56" s="88" t="s">
        <v>3</v>
      </c>
      <c r="C56" s="133" t="s">
        <v>3</v>
      </c>
      <c r="D56" s="50">
        <f t="shared" ref="D56:K56" si="23">IF(ISERR(D55/D$40),"NA",D55/D$40)</f>
        <v>0.16052631578947368</v>
      </c>
      <c r="E56" s="50">
        <f t="shared" si="23"/>
        <v>0.17555555555555555</v>
      </c>
      <c r="F56" s="50">
        <f t="shared" si="23"/>
        <v>0.12</v>
      </c>
      <c r="G56" s="50">
        <f t="shared" si="23"/>
        <v>0.12757575757575756</v>
      </c>
      <c r="H56" s="50">
        <f t="shared" si="23"/>
        <v>0.11656565656565655</v>
      </c>
      <c r="I56" s="50">
        <f t="shared" si="23"/>
        <v>0.1538088366659795</v>
      </c>
      <c r="J56" s="50">
        <f t="shared" si="23"/>
        <v>0.12964756080402337</v>
      </c>
      <c r="K56" s="50">
        <f t="shared" si="23"/>
        <v>0.10399420181733107</v>
      </c>
    </row>
    <row r="57" spans="2:12" s="12" customFormat="1" ht="13.5" thickBot="1" x14ac:dyDescent="0.25">
      <c r="B57" s="51"/>
      <c r="C57" s="68"/>
      <c r="D57" s="18"/>
      <c r="E57" s="18"/>
      <c r="F57" s="18"/>
      <c r="G57" s="52"/>
      <c r="H57" s="52"/>
      <c r="I57" s="52"/>
      <c r="J57" s="52"/>
      <c r="K57" s="52"/>
    </row>
    <row r="58" spans="2:12" s="12" customFormat="1" ht="13.5" thickBot="1" x14ac:dyDescent="0.25">
      <c r="B58" s="18" t="s">
        <v>70</v>
      </c>
      <c r="C58" s="127" t="str">
        <f>Projeções!$K$13</f>
        <v>R$</v>
      </c>
      <c r="D58" s="113">
        <v>-13333.333333333334</v>
      </c>
      <c r="E58" s="113">
        <v>-40000</v>
      </c>
      <c r="F58" s="113">
        <v>-48000</v>
      </c>
      <c r="G58" s="105">
        <f>-AVERAGE(F31:G31)*G59</f>
        <v>-138000</v>
      </c>
      <c r="H58" s="105">
        <f>-AVERAGE(G31:H31)*Projeções!$K$15</f>
        <v>-132000</v>
      </c>
      <c r="I58" s="105">
        <f>-AVERAGE(H31:I31)*Projeções!$K$15</f>
        <v>-124000</v>
      </c>
      <c r="J58" s="105">
        <f>-AVERAGE(I31:J31)*Projeções!$K$15</f>
        <v>-116000</v>
      </c>
      <c r="K58" s="105">
        <f>-AVERAGE(J31:K31)*Projeções!$K$15</f>
        <v>-108000</v>
      </c>
    </row>
    <row r="59" spans="2:12" s="12" customFormat="1" ht="13.5" thickBot="1" x14ac:dyDescent="0.25">
      <c r="B59" s="18" t="s">
        <v>71</v>
      </c>
      <c r="C59" s="127" t="s">
        <v>27</v>
      </c>
      <c r="D59" s="47"/>
      <c r="E59" s="47"/>
      <c r="F59" s="47"/>
      <c r="G59" s="119">
        <v>0.04</v>
      </c>
      <c r="H59" s="119">
        <f>G59</f>
        <v>0.04</v>
      </c>
      <c r="I59" s="119">
        <f t="shared" ref="I59:K59" si="24">H59</f>
        <v>0.04</v>
      </c>
      <c r="J59" s="119">
        <f t="shared" si="24"/>
        <v>0.04</v>
      </c>
      <c r="K59" s="119">
        <f t="shared" si="24"/>
        <v>0.04</v>
      </c>
    </row>
    <row r="60" spans="2:12" s="12" customFormat="1" x14ac:dyDescent="0.2">
      <c r="B60" s="29" t="s">
        <v>6</v>
      </c>
      <c r="C60" s="128" t="str">
        <f>Projeções!$K$13</f>
        <v>R$</v>
      </c>
      <c r="D60" s="106">
        <f t="shared" ref="D60" si="25">D55+D58</f>
        <v>596666.66666666663</v>
      </c>
      <c r="E60" s="106">
        <f t="shared" ref="E60:F60" si="26">E55+E58</f>
        <v>750000</v>
      </c>
      <c r="F60" s="106">
        <f t="shared" si="26"/>
        <v>552000</v>
      </c>
      <c r="G60" s="106">
        <f t="shared" ref="G60:K60" si="27">G55+G58</f>
        <v>563666.66666666663</v>
      </c>
      <c r="H60" s="106">
        <f t="shared" si="27"/>
        <v>541166.66666666663</v>
      </c>
      <c r="I60" s="106">
        <f t="shared" si="27"/>
        <v>808658.33333333326</v>
      </c>
      <c r="J60" s="106">
        <f t="shared" si="27"/>
        <v>709457.91666666663</v>
      </c>
      <c r="K60" s="106">
        <f t="shared" si="27"/>
        <v>587230.8125</v>
      </c>
    </row>
    <row r="61" spans="2:12" s="12" customFormat="1" x14ac:dyDescent="0.2">
      <c r="B61" s="88" t="s">
        <v>3</v>
      </c>
      <c r="C61" s="133" t="s">
        <v>3</v>
      </c>
      <c r="D61" s="50">
        <f t="shared" ref="D61:K61" si="28">IF(ISERR(D60/D$40),"NA",D60/D$40)</f>
        <v>0.15701754385964911</v>
      </c>
      <c r="E61" s="50">
        <f t="shared" si="28"/>
        <v>0.16666666666666666</v>
      </c>
      <c r="F61" s="50">
        <f t="shared" si="28"/>
        <v>0.1104</v>
      </c>
      <c r="G61" s="50">
        <f t="shared" si="28"/>
        <v>0.10248484848484848</v>
      </c>
      <c r="H61" s="50">
        <f t="shared" si="28"/>
        <v>9.3708513708513699E-2</v>
      </c>
      <c r="I61" s="50">
        <f t="shared" si="28"/>
        <v>0.1333594447880162</v>
      </c>
      <c r="J61" s="50">
        <f t="shared" si="28"/>
        <v>0.11142844054408679</v>
      </c>
      <c r="K61" s="50">
        <f t="shared" si="28"/>
        <v>8.7839316857781388E-2</v>
      </c>
    </row>
    <row r="62" spans="2:12" s="12" customFormat="1" x14ac:dyDescent="0.2">
      <c r="B62" s="18"/>
      <c r="C62" s="68"/>
      <c r="D62" s="18"/>
      <c r="E62" s="18"/>
      <c r="F62" s="18"/>
      <c r="G62" s="18"/>
      <c r="H62" s="18"/>
      <c r="I62" s="18"/>
      <c r="J62" s="18"/>
      <c r="K62" s="18"/>
    </row>
    <row r="63" spans="2:12" s="12" customFormat="1" ht="13.5" thickBot="1" x14ac:dyDescent="0.25">
      <c r="B63" s="18" t="s">
        <v>73</v>
      </c>
      <c r="C63" s="68" t="s">
        <v>3</v>
      </c>
      <c r="D63" s="54">
        <f t="shared" ref="D63:E63" si="29">-D64/D60</f>
        <v>0.1005586592178771</v>
      </c>
      <c r="E63" s="54">
        <f t="shared" si="29"/>
        <v>8.3333333333333329E-2</v>
      </c>
      <c r="F63" s="54">
        <f>-F64/F60</f>
        <v>5.434782608695652E-2</v>
      </c>
      <c r="G63" s="54">
        <f>Projeções!K16</f>
        <v>0.34</v>
      </c>
      <c r="H63" s="54">
        <f>G63</f>
        <v>0.34</v>
      </c>
      <c r="I63" s="54">
        <f t="shared" ref="I63:K63" si="30">H63</f>
        <v>0.34</v>
      </c>
      <c r="J63" s="54">
        <f t="shared" si="30"/>
        <v>0.34</v>
      </c>
      <c r="K63" s="54">
        <f t="shared" si="30"/>
        <v>0.34</v>
      </c>
    </row>
    <row r="64" spans="2:12" s="12" customFormat="1" ht="13.5" thickBot="1" x14ac:dyDescent="0.25">
      <c r="B64" s="18" t="s">
        <v>74</v>
      </c>
      <c r="C64" s="127" t="str">
        <f>Projeções!$K$13</f>
        <v>R$</v>
      </c>
      <c r="D64" s="113">
        <v>-60000</v>
      </c>
      <c r="E64" s="113">
        <v>-62500</v>
      </c>
      <c r="F64" s="113">
        <v>-30000</v>
      </c>
      <c r="G64" s="105">
        <f t="shared" ref="G64:J64" si="31">IF(G60&gt;0,-G60*G63,0)</f>
        <v>-191646.66666666666</v>
      </c>
      <c r="H64" s="105">
        <f t="shared" si="31"/>
        <v>-183996.66666666666</v>
      </c>
      <c r="I64" s="105">
        <f t="shared" si="31"/>
        <v>-274943.83333333331</v>
      </c>
      <c r="J64" s="105">
        <f t="shared" si="31"/>
        <v>-241215.69166666668</v>
      </c>
      <c r="K64" s="105">
        <f>IF(K60&gt;0,-K60*K63,0)</f>
        <v>-199658.47625000001</v>
      </c>
    </row>
    <row r="65" spans="2:13" s="12" customFormat="1" x14ac:dyDescent="0.2">
      <c r="B65" s="29" t="s">
        <v>72</v>
      </c>
      <c r="C65" s="128" t="str">
        <f>Projeções!$K$13</f>
        <v>R$</v>
      </c>
      <c r="D65" s="106">
        <f t="shared" ref="D65" si="32">D60+D64</f>
        <v>536666.66666666663</v>
      </c>
      <c r="E65" s="106">
        <f t="shared" ref="E65:F65" si="33">E60+E64</f>
        <v>687500</v>
      </c>
      <c r="F65" s="106">
        <f t="shared" si="33"/>
        <v>522000</v>
      </c>
      <c r="G65" s="106">
        <f t="shared" ref="G65:K65" si="34">G60+G64</f>
        <v>372020</v>
      </c>
      <c r="H65" s="106">
        <f t="shared" si="34"/>
        <v>357170</v>
      </c>
      <c r="I65" s="106">
        <f t="shared" si="34"/>
        <v>533714.5</v>
      </c>
      <c r="J65" s="106">
        <f t="shared" si="34"/>
        <v>468242.22499999998</v>
      </c>
      <c r="K65" s="106">
        <f t="shared" si="34"/>
        <v>387572.33624999999</v>
      </c>
    </row>
    <row r="66" spans="2:13" s="12" customFormat="1" x14ac:dyDescent="0.2">
      <c r="B66" s="88" t="s">
        <v>3</v>
      </c>
      <c r="C66" s="133" t="s">
        <v>3</v>
      </c>
      <c r="D66" s="50">
        <f t="shared" ref="D66:K66" si="35">IF(ISERR(D65/D$40),"NA",D65/D$40)</f>
        <v>0.14122807017543859</v>
      </c>
      <c r="E66" s="50">
        <f t="shared" si="35"/>
        <v>0.15277777777777779</v>
      </c>
      <c r="F66" s="50">
        <f t="shared" si="35"/>
        <v>0.10440000000000001</v>
      </c>
      <c r="G66" s="50">
        <f t="shared" si="35"/>
        <v>6.7640000000000006E-2</v>
      </c>
      <c r="H66" s="50">
        <f t="shared" si="35"/>
        <v>6.1847619047619047E-2</v>
      </c>
      <c r="I66" s="50">
        <f t="shared" si="35"/>
        <v>8.8017233560090696E-2</v>
      </c>
      <c r="J66" s="50">
        <f t="shared" si="35"/>
        <v>7.3542770759097292E-2</v>
      </c>
      <c r="K66" s="50">
        <f t="shared" si="35"/>
        <v>5.7973949126135717E-2</v>
      </c>
    </row>
    <row r="67" spans="2:13" s="12" customFormat="1" x14ac:dyDescent="0.2">
      <c r="B67" s="51"/>
      <c r="C67" s="68"/>
      <c r="D67" s="18"/>
      <c r="E67" s="18"/>
      <c r="F67" s="18"/>
      <c r="G67" s="90"/>
      <c r="H67" s="90"/>
      <c r="I67" s="90"/>
      <c r="J67" s="90"/>
      <c r="K67" s="90"/>
    </row>
    <row r="68" spans="2:13" s="12" customFormat="1" x14ac:dyDescent="0.2">
      <c r="B68" s="55"/>
      <c r="C68" s="134"/>
      <c r="D68" s="55"/>
      <c r="E68" s="55"/>
      <c r="F68" s="55"/>
      <c r="G68" s="56"/>
      <c r="H68" s="56"/>
      <c r="I68" s="56"/>
      <c r="J68" s="56"/>
      <c r="K68" s="56"/>
    </row>
    <row r="69" spans="2:13" s="12" customFormat="1" x14ac:dyDescent="0.2">
      <c r="B69" s="16" t="str">
        <f>+B37</f>
        <v>Todos os valores em milhares R$</v>
      </c>
      <c r="C69" s="125"/>
      <c r="D69" s="16"/>
      <c r="E69" s="16"/>
    </row>
    <row r="70" spans="2:13" s="12" customFormat="1" x14ac:dyDescent="0.2">
      <c r="B70" s="93" t="s">
        <v>75</v>
      </c>
      <c r="C70" s="135" t="s">
        <v>17</v>
      </c>
      <c r="D70" s="94">
        <f>E70-1</f>
        <v>2017</v>
      </c>
      <c r="E70" s="94">
        <f>F70-1</f>
        <v>2018</v>
      </c>
      <c r="F70" s="94">
        <f t="shared" ref="F70:K70" si="36">F$38</f>
        <v>2019</v>
      </c>
      <c r="G70" s="95">
        <f t="shared" si="36"/>
        <v>2020</v>
      </c>
      <c r="H70" s="95">
        <f t="shared" si="36"/>
        <v>2021</v>
      </c>
      <c r="I70" s="95">
        <f t="shared" si="36"/>
        <v>2022</v>
      </c>
      <c r="J70" s="95">
        <f t="shared" si="36"/>
        <v>2023</v>
      </c>
      <c r="K70" s="95">
        <f t="shared" si="36"/>
        <v>2024</v>
      </c>
    </row>
    <row r="71" spans="2:13" s="12" customFormat="1" x14ac:dyDescent="0.2">
      <c r="B71" s="38"/>
      <c r="C71" s="136"/>
      <c r="D71" s="38"/>
      <c r="E71" s="38"/>
      <c r="F71" s="60"/>
      <c r="G71" s="60"/>
      <c r="H71" s="60"/>
      <c r="I71" s="60"/>
      <c r="J71" s="60"/>
      <c r="K71" s="60"/>
    </row>
    <row r="72" spans="2:13" s="12" customFormat="1" x14ac:dyDescent="0.2">
      <c r="B72" s="109" t="s">
        <v>76</v>
      </c>
      <c r="C72" s="137"/>
      <c r="D72" s="51"/>
      <c r="E72" s="51"/>
      <c r="F72" s="34"/>
      <c r="G72" s="34"/>
      <c r="H72" s="34"/>
      <c r="I72" s="34"/>
      <c r="J72" s="34"/>
      <c r="K72" s="34"/>
    </row>
    <row r="73" spans="2:13" s="12" customFormat="1" x14ac:dyDescent="0.2">
      <c r="B73" s="18" t="s">
        <v>72</v>
      </c>
      <c r="C73" s="127" t="str">
        <f>Projeções!$K$13</f>
        <v>R$</v>
      </c>
      <c r="D73" s="61" t="s">
        <v>25</v>
      </c>
      <c r="E73" s="105">
        <f t="shared" ref="E73:K73" si="37">E65</f>
        <v>687500</v>
      </c>
      <c r="F73" s="105">
        <f t="shared" si="37"/>
        <v>522000</v>
      </c>
      <c r="G73" s="105">
        <f t="shared" si="37"/>
        <v>372020</v>
      </c>
      <c r="H73" s="105">
        <f t="shared" si="37"/>
        <v>357170</v>
      </c>
      <c r="I73" s="105">
        <f t="shared" si="37"/>
        <v>533714.5</v>
      </c>
      <c r="J73" s="105">
        <f t="shared" si="37"/>
        <v>468242.22499999998</v>
      </c>
      <c r="K73" s="105">
        <f t="shared" si="37"/>
        <v>387572.33624999999</v>
      </c>
      <c r="M73" s="18"/>
    </row>
    <row r="74" spans="2:13" x14ac:dyDescent="0.2">
      <c r="B74" s="71" t="s">
        <v>77</v>
      </c>
      <c r="C74" s="127" t="str">
        <f>Projeções!$K$13</f>
        <v>R$</v>
      </c>
      <c r="D74" s="61" t="s">
        <v>25</v>
      </c>
      <c r="E74" s="105">
        <f t="shared" ref="E74:K74" si="38">-E58</f>
        <v>40000</v>
      </c>
      <c r="F74" s="105">
        <f t="shared" si="38"/>
        <v>48000</v>
      </c>
      <c r="G74" s="105">
        <f t="shared" si="38"/>
        <v>138000</v>
      </c>
      <c r="H74" s="105">
        <f t="shared" si="38"/>
        <v>132000</v>
      </c>
      <c r="I74" s="105">
        <f t="shared" si="38"/>
        <v>124000</v>
      </c>
      <c r="J74" s="105">
        <f t="shared" si="38"/>
        <v>116000</v>
      </c>
      <c r="K74" s="105">
        <f t="shared" si="38"/>
        <v>108000</v>
      </c>
    </row>
    <row r="75" spans="2:13" s="12" customFormat="1" x14ac:dyDescent="0.2">
      <c r="B75" s="18" t="s">
        <v>78</v>
      </c>
      <c r="C75" s="127" t="str">
        <f>Projeções!$K$13</f>
        <v>R$</v>
      </c>
      <c r="D75" s="61" t="s">
        <v>25</v>
      </c>
      <c r="E75" s="105">
        <f t="shared" ref="E75:K75" si="39">-E54</f>
        <v>200000</v>
      </c>
      <c r="F75" s="105">
        <f t="shared" si="39"/>
        <v>220000</v>
      </c>
      <c r="G75" s="105">
        <f t="shared" si="39"/>
        <v>153333.33333333334</v>
      </c>
      <c r="H75" s="105">
        <f t="shared" si="39"/>
        <v>183333.33333333334</v>
      </c>
      <c r="I75" s="105">
        <f t="shared" si="39"/>
        <v>216666.66666666669</v>
      </c>
      <c r="J75" s="105">
        <f t="shared" si="39"/>
        <v>243333.33333333334</v>
      </c>
      <c r="K75" s="105">
        <f t="shared" si="39"/>
        <v>400000</v>
      </c>
    </row>
    <row r="76" spans="2:13" s="12" customFormat="1" x14ac:dyDescent="0.2">
      <c r="B76" s="18" t="s">
        <v>79</v>
      </c>
      <c r="C76" s="127" t="str">
        <f>Projeções!$K$13</f>
        <v>R$</v>
      </c>
      <c r="D76" s="61" t="s">
        <v>25</v>
      </c>
      <c r="E76" s="105">
        <f t="shared" ref="E76:K77" si="40">D25-E25</f>
        <v>50000</v>
      </c>
      <c r="F76" s="105">
        <f t="shared" si="40"/>
        <v>-50000</v>
      </c>
      <c r="G76" s="105">
        <f t="shared" si="40"/>
        <v>-304109.58904109581</v>
      </c>
      <c r="H76" s="105">
        <f t="shared" si="40"/>
        <v>-45205.479452054831</v>
      </c>
      <c r="I76" s="105">
        <f t="shared" si="40"/>
        <v>-47465.753424657509</v>
      </c>
      <c r="J76" s="105">
        <f t="shared" si="40"/>
        <v>-49839.041095890454</v>
      </c>
      <c r="K76" s="105">
        <f t="shared" si="40"/>
        <v>-52330.993150684866</v>
      </c>
    </row>
    <row r="77" spans="2:13" s="18" customFormat="1" x14ac:dyDescent="0.2">
      <c r="B77" s="18" t="s">
        <v>80</v>
      </c>
      <c r="C77" s="127" t="str">
        <f>Projeções!$K$13</f>
        <v>R$</v>
      </c>
      <c r="D77" s="61" t="s">
        <v>25</v>
      </c>
      <c r="E77" s="105">
        <f t="shared" si="40"/>
        <v>-100000</v>
      </c>
      <c r="F77" s="105">
        <f t="shared" si="40"/>
        <v>-50000</v>
      </c>
      <c r="G77" s="105">
        <f t="shared" si="40"/>
        <v>30410.958904109662</v>
      </c>
      <c r="H77" s="105">
        <f t="shared" si="40"/>
        <v>-28479.452054794529</v>
      </c>
      <c r="I77" s="105">
        <f t="shared" si="40"/>
        <v>-29903.424657534226</v>
      </c>
      <c r="J77" s="105">
        <f t="shared" si="40"/>
        <v>-31398.595890411059</v>
      </c>
      <c r="K77" s="105">
        <f t="shared" si="40"/>
        <v>-32968.525684931432</v>
      </c>
      <c r="L77" s="12"/>
    </row>
    <row r="78" spans="2:13" s="18" customFormat="1" x14ac:dyDescent="0.2">
      <c r="B78" s="18" t="s">
        <v>81</v>
      </c>
      <c r="C78" s="127" t="str">
        <f>Projeções!$K$13</f>
        <v>R$</v>
      </c>
      <c r="D78" s="61" t="s">
        <v>25</v>
      </c>
      <c r="E78" s="105">
        <f t="shared" ref="E78:K78" si="41">E30-D30</f>
        <v>100000</v>
      </c>
      <c r="F78" s="105">
        <f t="shared" si="41"/>
        <v>120000</v>
      </c>
      <c r="G78" s="105">
        <f t="shared" si="41"/>
        <v>-83835.61643835617</v>
      </c>
      <c r="H78" s="105">
        <f t="shared" si="41"/>
        <v>18308.219178082189</v>
      </c>
      <c r="I78" s="105">
        <f t="shared" si="41"/>
        <v>19223.630136986263</v>
      </c>
      <c r="J78" s="105">
        <f t="shared" si="41"/>
        <v>20184.811643835623</v>
      </c>
      <c r="K78" s="105">
        <f t="shared" si="41"/>
        <v>21194.052226027416</v>
      </c>
      <c r="L78" s="12"/>
    </row>
    <row r="79" spans="2:13" s="18" customFormat="1" x14ac:dyDescent="0.2">
      <c r="B79" s="96" t="s">
        <v>82</v>
      </c>
      <c r="C79" s="138" t="str">
        <f>Projeções!$K$13</f>
        <v>R$</v>
      </c>
      <c r="D79" s="62" t="s">
        <v>25</v>
      </c>
      <c r="E79" s="107">
        <f t="shared" ref="E79:K79" si="42">SUM(E73:E78)</f>
        <v>977500</v>
      </c>
      <c r="F79" s="107">
        <f t="shared" si="42"/>
        <v>810000</v>
      </c>
      <c r="G79" s="107">
        <f t="shared" si="42"/>
        <v>305819.08675799106</v>
      </c>
      <c r="H79" s="107">
        <f t="shared" si="42"/>
        <v>617126.6210045662</v>
      </c>
      <c r="I79" s="107">
        <f t="shared" si="42"/>
        <v>816235.61872146127</v>
      </c>
      <c r="J79" s="107">
        <f t="shared" si="42"/>
        <v>766522.73299086746</v>
      </c>
      <c r="K79" s="107">
        <f t="shared" si="42"/>
        <v>831466.86964041111</v>
      </c>
      <c r="L79" s="12"/>
    </row>
    <row r="80" spans="2:13" s="12" customFormat="1" x14ac:dyDescent="0.2">
      <c r="B80" s="18"/>
      <c r="C80" s="68"/>
      <c r="D80" s="34"/>
      <c r="E80" s="34"/>
      <c r="F80" s="34"/>
      <c r="G80" s="34"/>
      <c r="H80" s="34"/>
      <c r="I80" s="34"/>
      <c r="J80" s="34"/>
      <c r="K80" s="34"/>
    </row>
    <row r="81" spans="2:12" s="12" customFormat="1" x14ac:dyDescent="0.2">
      <c r="B81" s="109" t="s">
        <v>83</v>
      </c>
      <c r="C81" s="137"/>
      <c r="D81" s="34"/>
      <c r="E81" s="34"/>
      <c r="F81" s="34"/>
      <c r="G81" s="34"/>
      <c r="H81" s="34"/>
      <c r="I81" s="34"/>
      <c r="J81" s="34"/>
      <c r="K81" s="34"/>
    </row>
    <row r="82" spans="2:12" s="12" customFormat="1" x14ac:dyDescent="0.2">
      <c r="B82" s="18" t="s">
        <v>84</v>
      </c>
      <c r="C82" s="127" t="str">
        <f>Projeções!$K$13</f>
        <v>R$</v>
      </c>
      <c r="D82" s="34"/>
      <c r="E82" s="105">
        <f t="shared" ref="E82:K82" si="43">-E100</f>
        <v>-300000</v>
      </c>
      <c r="F82" s="105">
        <f t="shared" si="43"/>
        <v>-520000</v>
      </c>
      <c r="G82" s="105">
        <f t="shared" si="43"/>
        <v>-450000</v>
      </c>
      <c r="H82" s="105">
        <f t="shared" si="43"/>
        <v>-500000</v>
      </c>
      <c r="I82" s="105">
        <f t="shared" si="43"/>
        <v>-400000</v>
      </c>
      <c r="J82" s="105">
        <f t="shared" si="43"/>
        <v>-500000</v>
      </c>
      <c r="K82" s="105">
        <f t="shared" si="43"/>
        <v>-400000</v>
      </c>
    </row>
    <row r="83" spans="2:12" s="12" customFormat="1" x14ac:dyDescent="0.2">
      <c r="B83" s="96" t="s">
        <v>85</v>
      </c>
      <c r="C83" s="138" t="str">
        <f>Projeções!$K$13</f>
        <v>R$</v>
      </c>
      <c r="D83" s="35"/>
      <c r="E83" s="120">
        <f t="shared" ref="E83:F83" si="44">SUM(E82:E82)</f>
        <v>-300000</v>
      </c>
      <c r="F83" s="120">
        <f t="shared" si="44"/>
        <v>-520000</v>
      </c>
      <c r="G83" s="120">
        <f>SUM(G82:G82)</f>
        <v>-450000</v>
      </c>
      <c r="H83" s="120">
        <f>SUM(H82:H82)</f>
        <v>-500000</v>
      </c>
      <c r="I83" s="120">
        <f>SUM(I82:I82)</f>
        <v>-400000</v>
      </c>
      <c r="J83" s="120">
        <f>SUM(J82:J82)</f>
        <v>-500000</v>
      </c>
      <c r="K83" s="120">
        <f>SUM(K82:K82)</f>
        <v>-400000</v>
      </c>
    </row>
    <row r="84" spans="2:12" s="12" customFormat="1" x14ac:dyDescent="0.2">
      <c r="B84" s="18"/>
      <c r="C84" s="68"/>
      <c r="D84" s="34"/>
      <c r="E84" s="34"/>
      <c r="F84" s="34"/>
      <c r="G84" s="34"/>
      <c r="H84" s="34"/>
      <c r="I84" s="34"/>
      <c r="J84" s="34"/>
      <c r="K84" s="34"/>
    </row>
    <row r="85" spans="2:12" s="12" customFormat="1" ht="13.5" thickBot="1" x14ac:dyDescent="0.25">
      <c r="B85" s="109" t="s">
        <v>86</v>
      </c>
      <c r="C85" s="137"/>
      <c r="D85" s="34"/>
      <c r="E85" s="34"/>
      <c r="F85" s="34"/>
      <c r="G85" s="34"/>
      <c r="H85" s="34"/>
      <c r="I85" s="34"/>
      <c r="J85" s="34"/>
      <c r="K85" s="34"/>
    </row>
    <row r="86" spans="2:12" s="12" customFormat="1" ht="13.5" thickBot="1" x14ac:dyDescent="0.25">
      <c r="B86" s="18" t="s">
        <v>88</v>
      </c>
      <c r="C86" s="127" t="str">
        <f>Projeções!$K$13</f>
        <v>R$</v>
      </c>
      <c r="D86" s="53"/>
      <c r="E86" s="105">
        <f>Projeções!E31-D31</f>
        <v>2500000</v>
      </c>
      <c r="F86" s="105">
        <f>Projeções!F31-E31</f>
        <v>-500000</v>
      </c>
      <c r="G86" s="105">
        <f>Projeções!G31-F31</f>
        <v>-100000</v>
      </c>
      <c r="H86" s="113">
        <v>-200000</v>
      </c>
      <c r="I86" s="113">
        <v>-200000</v>
      </c>
      <c r="J86" s="113">
        <v>-200000</v>
      </c>
      <c r="K86" s="113">
        <v>-200000</v>
      </c>
    </row>
    <row r="87" spans="2:12" s="12" customFormat="1" ht="13.5" thickBot="1" x14ac:dyDescent="0.25">
      <c r="B87" s="71" t="s">
        <v>87</v>
      </c>
      <c r="C87" s="127" t="str">
        <f>Projeções!$K$13</f>
        <v>R$</v>
      </c>
      <c r="D87" s="63"/>
      <c r="E87" s="105">
        <f t="shared" ref="E87:K87" si="45">-E74</f>
        <v>-40000</v>
      </c>
      <c r="F87" s="105">
        <f t="shared" si="45"/>
        <v>-48000</v>
      </c>
      <c r="G87" s="105">
        <f t="shared" si="45"/>
        <v>-138000</v>
      </c>
      <c r="H87" s="105">
        <f t="shared" si="45"/>
        <v>-132000</v>
      </c>
      <c r="I87" s="105">
        <f t="shared" si="45"/>
        <v>-124000</v>
      </c>
      <c r="J87" s="105">
        <f t="shared" si="45"/>
        <v>-116000</v>
      </c>
      <c r="K87" s="105">
        <f t="shared" si="45"/>
        <v>-108000</v>
      </c>
    </row>
    <row r="88" spans="2:12" s="12" customFormat="1" ht="13.5" thickBot="1" x14ac:dyDescent="0.25">
      <c r="B88" s="71" t="s">
        <v>89</v>
      </c>
      <c r="C88" s="127" t="str">
        <f>Projeções!$K$13</f>
        <v>R$</v>
      </c>
      <c r="D88" s="47"/>
      <c r="E88" s="113">
        <v>0</v>
      </c>
      <c r="F88" s="113">
        <v>0</v>
      </c>
      <c r="G88" s="113">
        <v>0</v>
      </c>
      <c r="H88" s="113">
        <v>0</v>
      </c>
      <c r="I88" s="113">
        <v>0</v>
      </c>
      <c r="J88" s="113">
        <v>0</v>
      </c>
      <c r="K88" s="113">
        <v>0</v>
      </c>
    </row>
    <row r="89" spans="2:12" s="12" customFormat="1" ht="13.5" thickBot="1" x14ac:dyDescent="0.25">
      <c r="B89" s="71" t="s">
        <v>90</v>
      </c>
      <c r="C89" s="127" t="str">
        <f>Projeções!$K$13</f>
        <v>R$</v>
      </c>
      <c r="D89" s="47"/>
      <c r="E89" s="113">
        <v>0</v>
      </c>
      <c r="F89" s="113">
        <v>0</v>
      </c>
      <c r="G89" s="113">
        <v>0</v>
      </c>
      <c r="H89" s="113">
        <v>0</v>
      </c>
      <c r="I89" s="113">
        <v>0</v>
      </c>
      <c r="J89" s="113">
        <v>0</v>
      </c>
      <c r="K89" s="113">
        <v>0</v>
      </c>
    </row>
    <row r="90" spans="2:12" s="12" customFormat="1" x14ac:dyDescent="0.2">
      <c r="B90" s="96" t="s">
        <v>91</v>
      </c>
      <c r="C90" s="138" t="str">
        <f>Projeções!$K$13</f>
        <v>R$</v>
      </c>
      <c r="D90" s="58"/>
      <c r="E90" s="107">
        <f t="shared" ref="E90:F90" si="46">SUM(E86:E89)</f>
        <v>2460000</v>
      </c>
      <c r="F90" s="107">
        <f t="shared" si="46"/>
        <v>-548000</v>
      </c>
      <c r="G90" s="107">
        <f t="shared" ref="G90:K90" si="47">SUM(G86:G89)</f>
        <v>-238000</v>
      </c>
      <c r="H90" s="107">
        <f t="shared" si="47"/>
        <v>-332000</v>
      </c>
      <c r="I90" s="107">
        <f t="shared" si="47"/>
        <v>-324000</v>
      </c>
      <c r="J90" s="107">
        <f t="shared" si="47"/>
        <v>-316000</v>
      </c>
      <c r="K90" s="107">
        <f t="shared" si="47"/>
        <v>-308000</v>
      </c>
    </row>
    <row r="91" spans="2:12" s="12" customFormat="1" x14ac:dyDescent="0.2">
      <c r="B91" s="18"/>
      <c r="C91" s="68"/>
      <c r="D91" s="34"/>
      <c r="E91" s="34"/>
      <c r="F91" s="34"/>
      <c r="G91" s="34"/>
      <c r="H91" s="34"/>
      <c r="I91" s="34"/>
      <c r="J91" s="34"/>
      <c r="K91" s="34"/>
    </row>
    <row r="92" spans="2:12" s="12" customFormat="1" x14ac:dyDescent="0.2">
      <c r="B92" s="97" t="s">
        <v>92</v>
      </c>
      <c r="C92" s="139" t="str">
        <f>Projeções!$K$13</f>
        <v>R$</v>
      </c>
      <c r="D92" s="64"/>
      <c r="E92" s="120">
        <f t="shared" ref="E92:F92" si="48">E79+E83+E90</f>
        <v>3137500</v>
      </c>
      <c r="F92" s="120">
        <f t="shared" si="48"/>
        <v>-258000</v>
      </c>
      <c r="G92" s="120">
        <f>G79+G83+G90</f>
        <v>-382180.91324200894</v>
      </c>
      <c r="H92" s="120">
        <f>H79+H83+H90</f>
        <v>-214873.3789954338</v>
      </c>
      <c r="I92" s="120">
        <f>I79+I83+I90</f>
        <v>92235.618721461273</v>
      </c>
      <c r="J92" s="120">
        <f>J79+J83+J90</f>
        <v>-49477.267009132542</v>
      </c>
      <c r="K92" s="120">
        <f>K79+K83+K90</f>
        <v>123466.86964041111</v>
      </c>
    </row>
    <row r="93" spans="2:12" s="12" customFormat="1" x14ac:dyDescent="0.2">
      <c r="B93" s="22"/>
      <c r="C93" s="68"/>
      <c r="D93" s="34"/>
      <c r="E93" s="34"/>
      <c r="F93" s="34"/>
      <c r="G93" s="34"/>
      <c r="H93" s="34"/>
      <c r="I93" s="34"/>
      <c r="J93" s="34"/>
      <c r="K93" s="34"/>
    </row>
    <row r="94" spans="2:12" s="12" customFormat="1" x14ac:dyDescent="0.2">
      <c r="B94" s="71" t="s">
        <v>93</v>
      </c>
      <c r="C94" s="127" t="str">
        <f>Projeções!$K$13</f>
        <v>R$</v>
      </c>
      <c r="D94" s="34"/>
      <c r="E94" s="105">
        <f>D24</f>
        <v>200000</v>
      </c>
      <c r="F94" s="105">
        <f t="shared" ref="F94" si="49">E95</f>
        <v>3337500</v>
      </c>
      <c r="G94" s="105">
        <f t="shared" ref="G94:K94" si="50">F95</f>
        <v>3079500</v>
      </c>
      <c r="H94" s="105">
        <f t="shared" si="50"/>
        <v>2697319.086757991</v>
      </c>
      <c r="I94" s="105">
        <f t="shared" si="50"/>
        <v>2482445.7077625571</v>
      </c>
      <c r="J94" s="105">
        <f t="shared" si="50"/>
        <v>2574681.3264840185</v>
      </c>
      <c r="K94" s="105">
        <f t="shared" si="50"/>
        <v>2525204.0594748859</v>
      </c>
    </row>
    <row r="95" spans="2:12" s="12" customFormat="1" x14ac:dyDescent="0.2">
      <c r="B95" s="96" t="s">
        <v>94</v>
      </c>
      <c r="C95" s="138" t="str">
        <f>Projeções!$K$13</f>
        <v>R$</v>
      </c>
      <c r="D95" s="35"/>
      <c r="E95" s="107">
        <f t="shared" ref="E95:F95" si="51">E92+E94</f>
        <v>3337500</v>
      </c>
      <c r="F95" s="107">
        <f t="shared" si="51"/>
        <v>3079500</v>
      </c>
      <c r="G95" s="107">
        <f t="shared" ref="G95:K95" si="52">G92+G94</f>
        <v>2697319.086757991</v>
      </c>
      <c r="H95" s="107">
        <f t="shared" si="52"/>
        <v>2482445.7077625571</v>
      </c>
      <c r="I95" s="107">
        <f t="shared" si="52"/>
        <v>2574681.3264840185</v>
      </c>
      <c r="J95" s="107">
        <f t="shared" si="52"/>
        <v>2525204.0594748859</v>
      </c>
      <c r="K95" s="107">
        <f t="shared" si="52"/>
        <v>2648670.9291152973</v>
      </c>
    </row>
    <row r="96" spans="2:12" x14ac:dyDescent="0.2">
      <c r="B96" s="71"/>
      <c r="C96" s="130"/>
      <c r="D96" s="71"/>
      <c r="E96" s="71"/>
      <c r="F96" s="18"/>
      <c r="G96" s="18"/>
      <c r="H96" s="18"/>
      <c r="I96" s="18"/>
      <c r="J96" s="18"/>
      <c r="K96" s="18"/>
      <c r="L96" s="12"/>
    </row>
    <row r="97" spans="2:12" x14ac:dyDescent="0.2">
      <c r="B97" s="16" t="str">
        <f>+B69</f>
        <v>Todos os valores em milhares R$</v>
      </c>
      <c r="C97" s="121"/>
      <c r="D97" s="12"/>
      <c r="E97" s="12"/>
      <c r="F97" s="12"/>
      <c r="G97" s="12"/>
      <c r="H97" s="12"/>
      <c r="I97" s="12"/>
      <c r="J97" s="12"/>
      <c r="K97" s="12"/>
      <c r="L97" s="12"/>
    </row>
    <row r="98" spans="2:12" x14ac:dyDescent="0.2">
      <c r="B98" s="91" t="s">
        <v>95</v>
      </c>
      <c r="C98" s="140" t="s">
        <v>17</v>
      </c>
      <c r="D98" s="82">
        <f>E98-1</f>
        <v>2017</v>
      </c>
      <c r="E98" s="82">
        <f>F98-1</f>
        <v>2018</v>
      </c>
      <c r="F98" s="82">
        <f t="shared" ref="F98:K98" si="53">F$38</f>
        <v>2019</v>
      </c>
      <c r="G98" s="83">
        <f t="shared" si="53"/>
        <v>2020</v>
      </c>
      <c r="H98" s="83">
        <f t="shared" si="53"/>
        <v>2021</v>
      </c>
      <c r="I98" s="83">
        <f t="shared" si="53"/>
        <v>2022</v>
      </c>
      <c r="J98" s="83">
        <f t="shared" si="53"/>
        <v>2023</v>
      </c>
      <c r="K98" s="83">
        <f t="shared" si="53"/>
        <v>2024</v>
      </c>
      <c r="L98" s="12"/>
    </row>
    <row r="99" spans="2:12" ht="13.5" thickBot="1" x14ac:dyDescent="0.25">
      <c r="B99" s="38"/>
      <c r="C99" s="136"/>
      <c r="D99" s="38"/>
      <c r="E99" s="38"/>
      <c r="F99" s="38"/>
      <c r="G99" s="38"/>
      <c r="H99" s="38"/>
      <c r="I99" s="38"/>
      <c r="J99" s="38"/>
      <c r="K99" s="38"/>
      <c r="L99" s="12"/>
    </row>
    <row r="100" spans="2:12" ht="13.5" thickBot="1" x14ac:dyDescent="0.25">
      <c r="B100" s="98" t="s">
        <v>96</v>
      </c>
      <c r="C100" s="72" t="str">
        <f>Projeções!$K$13</f>
        <v>R$</v>
      </c>
      <c r="D100" s="72" t="s">
        <v>14</v>
      </c>
      <c r="E100" s="155">
        <f>E27-E54-D27</f>
        <v>300000</v>
      </c>
      <c r="F100" s="156">
        <f>F27-F54-E27</f>
        <v>520000</v>
      </c>
      <c r="G100" s="113">
        <v>450000</v>
      </c>
      <c r="H100" s="113">
        <v>500000</v>
      </c>
      <c r="I100" s="113">
        <v>400000</v>
      </c>
      <c r="J100" s="157">
        <v>500000</v>
      </c>
      <c r="K100" s="156">
        <f>K113</f>
        <v>400000</v>
      </c>
      <c r="L100" s="12"/>
    </row>
    <row r="101" spans="2:12" x14ac:dyDescent="0.2">
      <c r="B101" s="34"/>
      <c r="C101" s="61"/>
      <c r="D101" s="34"/>
      <c r="E101" s="34"/>
      <c r="F101" s="73"/>
      <c r="G101" s="73"/>
      <c r="H101" s="34"/>
      <c r="I101" s="34"/>
      <c r="J101" s="34"/>
      <c r="K101" s="34"/>
      <c r="L101" s="12"/>
    </row>
    <row r="102" spans="2:12" x14ac:dyDescent="0.2">
      <c r="B102" s="98" t="s">
        <v>97</v>
      </c>
      <c r="C102" s="72" t="str">
        <f>Projeções!$K$13</f>
        <v>R$</v>
      </c>
      <c r="D102" s="24"/>
      <c r="E102" s="24"/>
      <c r="F102" s="156">
        <f>F117+F115</f>
        <v>2300000</v>
      </c>
      <c r="G102" s="156">
        <f>F102+G100</f>
        <v>2750000</v>
      </c>
      <c r="H102" s="156">
        <f>G102+H100</f>
        <v>3250000</v>
      </c>
      <c r="I102" s="156">
        <f>H102+I100</f>
        <v>3650000</v>
      </c>
      <c r="J102" s="156">
        <f>I102+J100</f>
        <v>4150000</v>
      </c>
      <c r="K102" s="156">
        <f>J102+K100</f>
        <v>4550000</v>
      </c>
      <c r="L102" s="12"/>
    </row>
    <row r="103" spans="2:12" ht="13.5" thickBot="1" x14ac:dyDescent="0.25">
      <c r="B103" s="34"/>
      <c r="C103" s="61"/>
      <c r="D103" s="34"/>
      <c r="E103" s="34"/>
      <c r="F103" s="34"/>
      <c r="G103" s="34"/>
      <c r="H103" s="34"/>
      <c r="I103" s="34"/>
      <c r="J103" s="34"/>
      <c r="K103" s="34"/>
      <c r="L103" s="12"/>
    </row>
    <row r="104" spans="2:12" ht="13.5" thickBot="1" x14ac:dyDescent="0.25">
      <c r="B104" s="34" t="s">
        <v>98</v>
      </c>
      <c r="C104" s="61" t="s">
        <v>2</v>
      </c>
      <c r="D104" s="34"/>
      <c r="E104" s="34"/>
      <c r="F104" s="159">
        <v>15</v>
      </c>
      <c r="G104" s="34"/>
      <c r="H104" s="34"/>
      <c r="I104" s="34"/>
      <c r="J104" s="34"/>
      <c r="K104" s="34"/>
      <c r="L104" s="12"/>
    </row>
    <row r="105" spans="2:12" x14ac:dyDescent="0.2">
      <c r="B105" s="34"/>
      <c r="C105" s="61"/>
      <c r="D105" s="34"/>
      <c r="E105" s="34"/>
      <c r="F105" s="53"/>
      <c r="G105" s="34"/>
      <c r="H105" s="34"/>
      <c r="I105" s="34"/>
      <c r="J105" s="34"/>
      <c r="K105" s="34"/>
      <c r="L105" s="12"/>
    </row>
    <row r="106" spans="2:12" x14ac:dyDescent="0.2">
      <c r="B106" s="34" t="s">
        <v>99</v>
      </c>
      <c r="C106" s="61"/>
      <c r="D106" s="34"/>
      <c r="E106" s="34"/>
      <c r="F106" s="34"/>
      <c r="G106" s="53"/>
      <c r="H106" s="53"/>
      <c r="I106" s="53"/>
      <c r="J106" s="53"/>
      <c r="K106" s="53"/>
      <c r="L106" s="12"/>
    </row>
    <row r="107" spans="2:12" x14ac:dyDescent="0.2">
      <c r="B107" s="99">
        <f>F98</f>
        <v>2019</v>
      </c>
      <c r="C107" s="141">
        <f>F102</f>
        <v>2300000</v>
      </c>
      <c r="D107" s="74"/>
      <c r="E107" s="74"/>
      <c r="F107" s="34"/>
      <c r="G107" s="105">
        <f>$C107/$F$104</f>
        <v>153333.33333333334</v>
      </c>
      <c r="H107" s="105">
        <f>IF(SUM($G107:G107)+$C107/$F$104&gt;$C107,0,$C107/$F$104)</f>
        <v>153333.33333333334</v>
      </c>
      <c r="I107" s="105">
        <f>IF(SUM($G107:H107)+$C107/$F$104&gt;$C107,0,$C107/$F$104)</f>
        <v>153333.33333333334</v>
      </c>
      <c r="J107" s="105">
        <f>IF(SUM($G107:I107)+$C107/$F$104&gt;$C107,0,$C107/$F$104)</f>
        <v>153333.33333333334</v>
      </c>
      <c r="K107" s="105">
        <f>IF(SUM($G107:J107)+$C107/$F$104&gt;$C107,0,$C107/$F$104)</f>
        <v>153333.33333333334</v>
      </c>
      <c r="L107" s="12"/>
    </row>
    <row r="108" spans="2:12" x14ac:dyDescent="0.2">
      <c r="B108" s="100">
        <f>G98</f>
        <v>2020</v>
      </c>
      <c r="C108" s="142">
        <f>G100</f>
        <v>450000</v>
      </c>
      <c r="D108" s="74"/>
      <c r="E108" s="74"/>
      <c r="F108" s="34"/>
      <c r="G108" s="105"/>
      <c r="H108" s="105">
        <f>$C108/$F$104</f>
        <v>30000</v>
      </c>
      <c r="I108" s="105">
        <f>IF(SUM($G108:H108)+$C108/$F$104&gt;$C108,0,$C108/$F$104)</f>
        <v>30000</v>
      </c>
      <c r="J108" s="105">
        <f>IF(SUM($G108:I108)+$C108/$F$104&gt;$C108,0,$C108/$F$104)</f>
        <v>30000</v>
      </c>
      <c r="K108" s="105">
        <f>IF(SUM($G108:J108)+$C108/$F$104&gt;$C108,0,$C108/$F$104)</f>
        <v>30000</v>
      </c>
      <c r="L108" s="12"/>
    </row>
    <row r="109" spans="2:12" x14ac:dyDescent="0.2">
      <c r="B109" s="100">
        <f>B108+1</f>
        <v>2021</v>
      </c>
      <c r="C109" s="142">
        <f>H100</f>
        <v>500000</v>
      </c>
      <c r="D109" s="74"/>
      <c r="E109" s="74"/>
      <c r="F109" s="34"/>
      <c r="G109" s="105"/>
      <c r="H109" s="105"/>
      <c r="I109" s="105">
        <f>$C109/$F$104</f>
        <v>33333.333333333336</v>
      </c>
      <c r="J109" s="105">
        <f>IF(SUM($G109:I109)+$C109/$F$104&gt;$C109,0,$C109/$F$104)</f>
        <v>33333.333333333336</v>
      </c>
      <c r="K109" s="105">
        <f>IF(SUM($G109:J109)+$C109/$F$104&gt;$C109,0,$C109/$F$104)</f>
        <v>33333.333333333336</v>
      </c>
      <c r="L109" s="12"/>
    </row>
    <row r="110" spans="2:12" x14ac:dyDescent="0.2">
      <c r="B110" s="100">
        <f>B109+1</f>
        <v>2022</v>
      </c>
      <c r="C110" s="142">
        <f>I100</f>
        <v>400000</v>
      </c>
      <c r="D110" s="74"/>
      <c r="E110" s="74"/>
      <c r="F110" s="34"/>
      <c r="G110" s="105"/>
      <c r="H110" s="105"/>
      <c r="I110" s="105"/>
      <c r="J110" s="105">
        <f>$C110/$F$104</f>
        <v>26666.666666666668</v>
      </c>
      <c r="K110" s="105">
        <f>IF(SUM($G110:J110)+$C110/$F$104&gt;$C110,0,$C110/$F$104)</f>
        <v>26666.666666666668</v>
      </c>
      <c r="L110" s="12"/>
    </row>
    <row r="111" spans="2:12" x14ac:dyDescent="0.2">
      <c r="B111" s="100">
        <f>B110+1</f>
        <v>2023</v>
      </c>
      <c r="C111" s="143">
        <f>J100</f>
        <v>500000</v>
      </c>
      <c r="D111" s="74"/>
      <c r="E111" s="74"/>
      <c r="F111" s="34"/>
      <c r="G111" s="105"/>
      <c r="H111" s="105"/>
      <c r="I111" s="105"/>
      <c r="J111" s="105"/>
      <c r="K111" s="105">
        <f>$C111/$F$104</f>
        <v>33333.333333333336</v>
      </c>
      <c r="L111" s="12"/>
    </row>
    <row r="112" spans="2:12" ht="13.5" thickBot="1" x14ac:dyDescent="0.25">
      <c r="B112" s="101"/>
      <c r="C112" s="144"/>
      <c r="D112" s="74"/>
      <c r="E112" s="74"/>
      <c r="F112" s="34"/>
      <c r="G112" s="75"/>
      <c r="H112" s="75"/>
      <c r="I112" s="75"/>
      <c r="J112" s="75"/>
      <c r="K112" s="34"/>
      <c r="L112" s="12"/>
    </row>
    <row r="113" spans="2:12" ht="13.5" thickBot="1" x14ac:dyDescent="0.25">
      <c r="B113" s="98" t="s">
        <v>99</v>
      </c>
      <c r="C113" s="72" t="str">
        <f>Projeções!$K$13</f>
        <v>R$</v>
      </c>
      <c r="D113" s="64"/>
      <c r="E113" s="64"/>
      <c r="F113" s="64"/>
      <c r="G113" s="155">
        <f>SUM(G107:G111)</f>
        <v>153333.33333333334</v>
      </c>
      <c r="H113" s="155">
        <f>SUM(H107:H111)</f>
        <v>183333.33333333334</v>
      </c>
      <c r="I113" s="155">
        <f>SUM(I107:I111)</f>
        <v>216666.66666666669</v>
      </c>
      <c r="J113" s="156">
        <f>SUM(J107:J111)</f>
        <v>243333.33333333334</v>
      </c>
      <c r="K113" s="113">
        <v>400000</v>
      </c>
      <c r="L113" s="12"/>
    </row>
    <row r="114" spans="2:12" x14ac:dyDescent="0.2">
      <c r="B114" s="74"/>
      <c r="C114" s="144"/>
      <c r="D114" s="75"/>
      <c r="E114" s="75"/>
      <c r="F114" s="75"/>
      <c r="G114" s="75"/>
      <c r="H114" s="75"/>
      <c r="I114" s="75"/>
      <c r="J114" s="75"/>
      <c r="K114" s="75"/>
      <c r="L114" s="12"/>
    </row>
    <row r="115" spans="2:12" x14ac:dyDescent="0.2">
      <c r="B115" s="34" t="s">
        <v>100</v>
      </c>
      <c r="C115" s="68" t="str">
        <f>Projeções!$K$13</f>
        <v>R$</v>
      </c>
      <c r="D115" s="18"/>
      <c r="E115" s="18"/>
      <c r="F115" s="53">
        <f>F113</f>
        <v>0</v>
      </c>
      <c r="G115" s="105">
        <f>G113</f>
        <v>153333.33333333334</v>
      </c>
      <c r="H115" s="105">
        <f>G115+H113</f>
        <v>336666.66666666669</v>
      </c>
      <c r="I115" s="105">
        <f>H115+I113</f>
        <v>553333.33333333337</v>
      </c>
      <c r="J115" s="105">
        <f>I115+J113</f>
        <v>796666.66666666674</v>
      </c>
      <c r="K115" s="105">
        <f>J115+K113</f>
        <v>1196666.6666666667</v>
      </c>
      <c r="L115" s="12"/>
    </row>
    <row r="116" spans="2:12" x14ac:dyDescent="0.2">
      <c r="B116" s="34"/>
      <c r="C116" s="61"/>
      <c r="D116" s="34"/>
      <c r="E116" s="34"/>
      <c r="F116" s="34"/>
      <c r="G116" s="34"/>
      <c r="H116" s="34"/>
      <c r="I116" s="34"/>
      <c r="J116" s="34"/>
      <c r="K116" s="34"/>
      <c r="L116" s="12"/>
    </row>
    <row r="117" spans="2:12" x14ac:dyDescent="0.2">
      <c r="B117" s="102" t="s">
        <v>101</v>
      </c>
      <c r="C117" s="145" t="str">
        <f>Projeções!$K$13</f>
        <v>R$</v>
      </c>
      <c r="D117" s="40"/>
      <c r="E117" s="40"/>
      <c r="F117" s="158">
        <f>F27</f>
        <v>2300000</v>
      </c>
      <c r="G117" s="158">
        <f>G102-G115</f>
        <v>2596666.6666666665</v>
      </c>
      <c r="H117" s="158">
        <f>H102-H115</f>
        <v>2913333.3333333335</v>
      </c>
      <c r="I117" s="158">
        <f>I102-I115</f>
        <v>3096666.6666666665</v>
      </c>
      <c r="J117" s="158">
        <f>J102-J115</f>
        <v>3353333.333333333</v>
      </c>
      <c r="K117" s="158">
        <f>K102-K115</f>
        <v>3353333.333333333</v>
      </c>
      <c r="L117" s="12"/>
    </row>
    <row r="118" spans="2:12" x14ac:dyDescent="0.2">
      <c r="B118" s="18"/>
      <c r="C118" s="68"/>
      <c r="D118" s="18"/>
      <c r="E118" s="18"/>
      <c r="F118" s="18"/>
      <c r="G118" s="18"/>
      <c r="H118" s="18"/>
      <c r="I118" s="18"/>
      <c r="J118" s="18"/>
      <c r="K118" s="18"/>
      <c r="L118" s="12"/>
    </row>
    <row r="119" spans="2:12" x14ac:dyDescent="0.2">
      <c r="B119" s="12"/>
      <c r="C119" s="121"/>
      <c r="D119" s="12"/>
      <c r="E119" s="12"/>
      <c r="F119" s="12"/>
      <c r="G119" s="12"/>
      <c r="H119" s="12"/>
      <c r="I119" s="12"/>
      <c r="J119" s="12"/>
      <c r="K119" s="12"/>
      <c r="L119" s="12"/>
    </row>
    <row r="120" spans="2:12" s="32" customFormat="1" x14ac:dyDescent="0.2">
      <c r="B120" s="16" t="str">
        <f>+B97</f>
        <v>Todos os valores em milhares R$</v>
      </c>
      <c r="C120" s="146"/>
      <c r="D120" s="25"/>
      <c r="E120" s="25"/>
      <c r="F120" s="25"/>
      <c r="G120" s="25"/>
      <c r="H120" s="25"/>
      <c r="I120" s="25"/>
      <c r="J120" s="25"/>
      <c r="K120" s="25"/>
      <c r="L120" s="13"/>
    </row>
    <row r="121" spans="2:12" x14ac:dyDescent="0.2">
      <c r="B121" s="84" t="s">
        <v>33</v>
      </c>
      <c r="C121" s="126"/>
      <c r="D121" s="85"/>
      <c r="E121" s="85"/>
      <c r="F121" s="85">
        <f t="shared" ref="F121:K121" si="54">F$38</f>
        <v>2019</v>
      </c>
      <c r="G121" s="86">
        <f t="shared" si="54"/>
        <v>2020</v>
      </c>
      <c r="H121" s="86">
        <f t="shared" si="54"/>
        <v>2021</v>
      </c>
      <c r="I121" s="86">
        <f t="shared" si="54"/>
        <v>2022</v>
      </c>
      <c r="J121" s="86">
        <f t="shared" si="54"/>
        <v>2023</v>
      </c>
      <c r="K121" s="86">
        <f t="shared" si="54"/>
        <v>2024</v>
      </c>
      <c r="L121" s="12"/>
    </row>
    <row r="122" spans="2:12" ht="13.5" thickBot="1" x14ac:dyDescent="0.25">
      <c r="B122" s="22"/>
      <c r="C122" s="23"/>
      <c r="D122" s="22"/>
      <c r="E122" s="22"/>
      <c r="F122" s="22"/>
      <c r="G122" s="22"/>
      <c r="H122" s="22"/>
      <c r="I122" s="22"/>
      <c r="J122" s="22"/>
      <c r="K122" s="22"/>
      <c r="L122" s="12"/>
    </row>
    <row r="123" spans="2:12" ht="13.5" thickBot="1" x14ac:dyDescent="0.25">
      <c r="B123" s="22" t="s">
        <v>102</v>
      </c>
      <c r="C123" s="23" t="s">
        <v>3</v>
      </c>
      <c r="D123" s="22"/>
      <c r="E123" s="22"/>
      <c r="F123" s="160">
        <v>4</v>
      </c>
      <c r="G123" s="22"/>
      <c r="H123" s="22"/>
      <c r="I123" s="22"/>
      <c r="J123" s="22"/>
      <c r="K123" s="22"/>
      <c r="L123" s="12"/>
    </row>
    <row r="124" spans="2:12" ht="13.5" thickBot="1" x14ac:dyDescent="0.25">
      <c r="B124" s="22" t="s">
        <v>26</v>
      </c>
      <c r="C124" s="23" t="s">
        <v>3</v>
      </c>
      <c r="D124" s="22"/>
      <c r="E124" s="22"/>
      <c r="F124" s="161">
        <v>0.11</v>
      </c>
      <c r="G124" s="22"/>
      <c r="H124" s="22"/>
      <c r="I124" s="22"/>
      <c r="J124" s="22"/>
      <c r="K124" s="22"/>
      <c r="L124" s="12"/>
    </row>
    <row r="125" spans="2:12" x14ac:dyDescent="0.2">
      <c r="B125" s="22"/>
      <c r="C125" s="23"/>
      <c r="D125" s="22"/>
      <c r="E125" s="22"/>
      <c r="F125" s="27"/>
      <c r="G125" s="22"/>
      <c r="H125" s="22"/>
      <c r="I125" s="28"/>
      <c r="J125" s="28"/>
      <c r="K125" s="22"/>
      <c r="L125" s="12"/>
    </row>
    <row r="126" spans="2:12" x14ac:dyDescent="0.2">
      <c r="B126" s="29" t="s">
        <v>107</v>
      </c>
      <c r="C126" s="147"/>
      <c r="D126" s="29"/>
      <c r="E126" s="22"/>
      <c r="F126" s="29"/>
      <c r="G126" s="18"/>
      <c r="H126" s="18"/>
      <c r="I126" s="18"/>
      <c r="J126" s="18"/>
      <c r="K126" s="18"/>
      <c r="L126" s="12"/>
    </row>
    <row r="127" spans="2:12" x14ac:dyDescent="0.2">
      <c r="B127" s="29" t="s">
        <v>8</v>
      </c>
      <c r="C127" s="148" t="str">
        <f>Projeções!$K$13</f>
        <v>R$</v>
      </c>
      <c r="D127" s="31"/>
      <c r="E127" s="20"/>
      <c r="F127" s="31"/>
      <c r="G127" s="106">
        <f>G55</f>
        <v>701666.66666666663</v>
      </c>
      <c r="H127" s="106">
        <f>H55</f>
        <v>673166.66666666663</v>
      </c>
      <c r="I127" s="106">
        <f>I55</f>
        <v>932658.33333333326</v>
      </c>
      <c r="J127" s="106">
        <f>J55</f>
        <v>825457.91666666663</v>
      </c>
      <c r="K127" s="106">
        <f>K55</f>
        <v>695230.8125</v>
      </c>
      <c r="L127" s="12"/>
    </row>
    <row r="128" spans="2:12" x14ac:dyDescent="0.2">
      <c r="B128" s="18" t="s">
        <v>103</v>
      </c>
      <c r="C128" s="149" t="str">
        <f>Projeções!$K$13</f>
        <v>R$</v>
      </c>
      <c r="D128" s="34"/>
      <c r="E128" s="22"/>
      <c r="F128" s="34"/>
      <c r="G128" s="105">
        <f>IF(G127&lt;0,0,-G127*G63)</f>
        <v>-238566.66666666666</v>
      </c>
      <c r="H128" s="105">
        <f>IF(H127&lt;0,0,-H127*H63)</f>
        <v>-228876.66666666666</v>
      </c>
      <c r="I128" s="105">
        <f>IF(I127&lt;0,0,-I127*I63)</f>
        <v>-317103.83333333331</v>
      </c>
      <c r="J128" s="105">
        <f>IF(J127&lt;0,0,-J127*J63)</f>
        <v>-280655.69166666665</v>
      </c>
      <c r="K128" s="105">
        <f>IF(K127&lt;0,0,-K127*K63)</f>
        <v>-236378.47625000001</v>
      </c>
      <c r="L128" s="12"/>
    </row>
    <row r="129" spans="2:12" x14ac:dyDescent="0.2">
      <c r="B129" s="18" t="s">
        <v>78</v>
      </c>
      <c r="C129" s="149" t="str">
        <f>Projeções!$K$13</f>
        <v>R$</v>
      </c>
      <c r="D129" s="34"/>
      <c r="E129" s="22"/>
      <c r="F129" s="34"/>
      <c r="G129" s="105">
        <f>G75</f>
        <v>153333.33333333334</v>
      </c>
      <c r="H129" s="105">
        <f>H75</f>
        <v>183333.33333333334</v>
      </c>
      <c r="I129" s="105">
        <f>I75</f>
        <v>216666.66666666669</v>
      </c>
      <c r="J129" s="105">
        <f>J75</f>
        <v>243333.33333333334</v>
      </c>
      <c r="K129" s="105">
        <f>K75</f>
        <v>400000</v>
      </c>
      <c r="L129" s="12"/>
    </row>
    <row r="130" spans="2:12" x14ac:dyDescent="0.2">
      <c r="B130" s="18" t="s">
        <v>104</v>
      </c>
      <c r="C130" s="149" t="str">
        <f>Projeções!$K$13</f>
        <v>R$</v>
      </c>
      <c r="D130" s="34"/>
      <c r="E130" s="22"/>
      <c r="F130" s="34"/>
      <c r="G130" s="105">
        <f>SUM(G76:G78)</f>
        <v>-357534.24657534232</v>
      </c>
      <c r="H130" s="105">
        <f>SUM(H76:H78)</f>
        <v>-55376.712328767171</v>
      </c>
      <c r="I130" s="105">
        <f>SUM(I76:I78)</f>
        <v>-58145.547945205471</v>
      </c>
      <c r="J130" s="105">
        <f>SUM(J76:J78)</f>
        <v>-61052.825342465891</v>
      </c>
      <c r="K130" s="105">
        <f>SUM(K76:K78)</f>
        <v>-64105.466609588882</v>
      </c>
      <c r="L130" s="12"/>
    </row>
    <row r="131" spans="2:12" s="32" customFormat="1" x14ac:dyDescent="0.2">
      <c r="B131" s="18" t="s">
        <v>105</v>
      </c>
      <c r="C131" s="149" t="str">
        <f>Projeções!$K$13</f>
        <v>R$</v>
      </c>
      <c r="D131" s="34"/>
      <c r="E131" s="34"/>
      <c r="F131" s="34"/>
      <c r="G131" s="105">
        <f>G83</f>
        <v>-450000</v>
      </c>
      <c r="H131" s="105">
        <f>H83</f>
        <v>-500000</v>
      </c>
      <c r="I131" s="105">
        <f>I83</f>
        <v>-400000</v>
      </c>
      <c r="J131" s="105">
        <f>J83</f>
        <v>-500000</v>
      </c>
      <c r="K131" s="105">
        <f>K83</f>
        <v>-400000</v>
      </c>
      <c r="L131" s="13"/>
    </row>
    <row r="132" spans="2:12" x14ac:dyDescent="0.2">
      <c r="B132" s="20" t="s">
        <v>31</v>
      </c>
      <c r="C132" s="148" t="str">
        <f>Projeções!$K$13</f>
        <v>R$</v>
      </c>
      <c r="D132" s="31"/>
      <c r="E132" s="31"/>
      <c r="F132" s="31"/>
      <c r="G132" s="106">
        <f>SUM(G127:G131)</f>
        <v>-191100.91324200894</v>
      </c>
      <c r="H132" s="106">
        <f t="shared" ref="H132:K132" si="55">SUM(H127:H131)</f>
        <v>72246.621004566201</v>
      </c>
      <c r="I132" s="106">
        <f t="shared" si="55"/>
        <v>374075.61872146127</v>
      </c>
      <c r="J132" s="106">
        <f t="shared" si="55"/>
        <v>227082.73299086746</v>
      </c>
      <c r="K132" s="106">
        <f t="shared" si="55"/>
        <v>394746.86964041111</v>
      </c>
      <c r="L132" s="12"/>
    </row>
    <row r="133" spans="2:12" x14ac:dyDescent="0.2">
      <c r="B133" s="22" t="s">
        <v>106</v>
      </c>
      <c r="C133" s="149" t="str">
        <f>Projeções!$K$13</f>
        <v>R$</v>
      </c>
      <c r="D133" s="22"/>
      <c r="E133" s="22"/>
      <c r="F133" s="22"/>
      <c r="G133" s="105"/>
      <c r="H133" s="105"/>
      <c r="I133" s="105"/>
      <c r="J133" s="105"/>
      <c r="K133" s="105">
        <f>K51*F123</f>
        <v>4380923.25</v>
      </c>
      <c r="L133" s="12"/>
    </row>
    <row r="134" spans="2:12" x14ac:dyDescent="0.2">
      <c r="B134" s="20" t="s">
        <v>108</v>
      </c>
      <c r="C134" s="148" t="str">
        <f>Projeções!$K$13</f>
        <v>R$</v>
      </c>
      <c r="D134" s="31"/>
      <c r="E134" s="31"/>
      <c r="F134" s="31"/>
      <c r="G134" s="106">
        <f>G132+G133</f>
        <v>-191100.91324200894</v>
      </c>
      <c r="H134" s="106">
        <f t="shared" ref="H134:K134" si="56">H132+H133</f>
        <v>72246.621004566201</v>
      </c>
      <c r="I134" s="106">
        <f t="shared" si="56"/>
        <v>374075.61872146127</v>
      </c>
      <c r="J134" s="106">
        <f t="shared" si="56"/>
        <v>227082.73299086746</v>
      </c>
      <c r="K134" s="106">
        <f t="shared" si="56"/>
        <v>4775670.1196404109</v>
      </c>
      <c r="L134" s="12"/>
    </row>
    <row r="135" spans="2:12" s="32" customFormat="1" x14ac:dyDescent="0.2">
      <c r="B135" s="22"/>
      <c r="C135" s="23"/>
      <c r="D135" s="22"/>
      <c r="E135" s="22"/>
      <c r="F135" s="22"/>
      <c r="G135" s="22"/>
      <c r="H135" s="22"/>
      <c r="I135" s="22"/>
      <c r="J135" s="22"/>
      <c r="K135" s="22"/>
      <c r="L135" s="13"/>
    </row>
    <row r="136" spans="2:12" ht="13.5" thickBot="1" x14ac:dyDescent="0.25">
      <c r="B136" s="22"/>
      <c r="C136" s="23"/>
      <c r="D136" s="22"/>
      <c r="E136" s="22"/>
      <c r="F136" s="22"/>
      <c r="G136" s="22"/>
      <c r="H136" s="22"/>
      <c r="I136" s="22"/>
      <c r="J136" s="22"/>
      <c r="K136" s="22"/>
      <c r="L136" s="12"/>
    </row>
    <row r="137" spans="2:12" ht="13.5" thickBot="1" x14ac:dyDescent="0.25">
      <c r="B137" s="22" t="s">
        <v>109</v>
      </c>
      <c r="C137" s="23" t="s">
        <v>24</v>
      </c>
      <c r="D137" s="22"/>
      <c r="E137" s="22"/>
      <c r="F137" s="22"/>
      <c r="G137" s="162">
        <v>1.2</v>
      </c>
      <c r="H137" s="36">
        <v>1</v>
      </c>
      <c r="I137" s="36">
        <v>1</v>
      </c>
      <c r="J137" s="36">
        <v>1</v>
      </c>
      <c r="K137" s="36">
        <v>1</v>
      </c>
      <c r="L137" s="12"/>
    </row>
    <row r="138" spans="2:12" x14ac:dyDescent="0.2">
      <c r="B138" s="22" t="s">
        <v>110</v>
      </c>
      <c r="C138" s="23" t="s">
        <v>23</v>
      </c>
      <c r="D138" s="22"/>
      <c r="E138" s="22"/>
      <c r="F138" s="22"/>
      <c r="G138" s="36">
        <f>1/(1+$F$124)^G137</f>
        <v>0.88229217082656441</v>
      </c>
      <c r="H138" s="36">
        <f>G138/(1+$F$124)^H137</f>
        <v>0.79485781155546331</v>
      </c>
      <c r="I138" s="36">
        <f t="shared" ref="I138:K138" si="57">H138/(1+$F$124)^I137</f>
        <v>0.71608811851843535</v>
      </c>
      <c r="J138" s="36">
        <f t="shared" si="57"/>
        <v>0.64512443109768947</v>
      </c>
      <c r="K138" s="36">
        <f t="shared" si="57"/>
        <v>0.58119318116908958</v>
      </c>
      <c r="L138" s="12"/>
    </row>
    <row r="139" spans="2:12" x14ac:dyDescent="0.2">
      <c r="B139" s="22" t="s">
        <v>111</v>
      </c>
      <c r="C139" s="149" t="str">
        <f>Projeções!$K$13</f>
        <v>R$</v>
      </c>
      <c r="D139" s="22"/>
      <c r="E139" s="22"/>
      <c r="F139" s="22"/>
      <c r="G139" s="106">
        <f>G134*G138</f>
        <v>-168606.83959123102</v>
      </c>
      <c r="H139" s="106">
        <f t="shared" ref="H139:K139" si="58">H134*H138</f>
        <v>57425.791063966462</v>
      </c>
      <c r="I139" s="106">
        <f t="shared" si="58"/>
        <v>267871.10599387082</v>
      </c>
      <c r="J139" s="106">
        <f t="shared" si="58"/>
        <v>146496.6189328419</v>
      </c>
      <c r="K139" s="106">
        <f t="shared" si="58"/>
        <v>2775586.9090479771</v>
      </c>
      <c r="L139" s="12"/>
    </row>
    <row r="140" spans="2:12" s="32" customFormat="1" x14ac:dyDescent="0.2">
      <c r="B140" s="20" t="s">
        <v>112</v>
      </c>
      <c r="C140" s="148" t="str">
        <f>Projeções!$K$13</f>
        <v>R$</v>
      </c>
      <c r="D140" s="20"/>
      <c r="E140" s="20"/>
      <c r="F140" s="106">
        <f>SUM(G139:K139)</f>
        <v>3078773.585447425</v>
      </c>
      <c r="G140" s="22"/>
      <c r="H140" s="22"/>
      <c r="I140" s="22"/>
      <c r="J140" s="22"/>
      <c r="K140" s="22"/>
      <c r="L140" s="13"/>
    </row>
    <row r="141" spans="2:12" x14ac:dyDescent="0.2">
      <c r="B141" s="22"/>
      <c r="C141" s="149"/>
      <c r="D141" s="22"/>
      <c r="E141" s="22"/>
      <c r="F141" s="106"/>
      <c r="G141" s="22"/>
      <c r="H141" s="22"/>
      <c r="I141" s="22"/>
      <c r="J141" s="22"/>
      <c r="K141" s="22"/>
      <c r="L141" s="12"/>
    </row>
    <row r="142" spans="2:12" x14ac:dyDescent="0.2">
      <c r="B142" s="20" t="s">
        <v>113</v>
      </c>
      <c r="C142" s="148" t="str">
        <f>Projeções!$K$13</f>
        <v>R$</v>
      </c>
      <c r="D142" s="30"/>
      <c r="E142" s="30"/>
      <c r="F142" s="106">
        <f>F140</f>
        <v>3078773.585447425</v>
      </c>
      <c r="G142" s="22"/>
      <c r="H142" s="22"/>
      <c r="I142" s="22"/>
      <c r="J142" s="22"/>
      <c r="K142" s="22"/>
      <c r="L142" s="12"/>
    </row>
    <row r="143" spans="2:12" x14ac:dyDescent="0.2">
      <c r="B143" s="22" t="s">
        <v>114</v>
      </c>
      <c r="C143" s="149" t="str">
        <f>Projeções!$K$13</f>
        <v>R$</v>
      </c>
      <c r="D143" s="33"/>
      <c r="E143" s="33"/>
      <c r="F143" s="105">
        <f>F24</f>
        <v>3079500</v>
      </c>
      <c r="G143" s="22"/>
      <c r="H143" s="22"/>
      <c r="I143" s="22"/>
      <c r="J143" s="22"/>
      <c r="K143" s="22"/>
      <c r="L143" s="12"/>
    </row>
    <row r="144" spans="2:12" x14ac:dyDescent="0.2">
      <c r="B144" s="22" t="s">
        <v>115</v>
      </c>
      <c r="C144" s="149" t="str">
        <f>Projeções!$K$13</f>
        <v>R$</v>
      </c>
      <c r="D144" s="33"/>
      <c r="E144" s="33"/>
      <c r="F144" s="105">
        <f>-F31</f>
        <v>-3500000</v>
      </c>
      <c r="G144" s="22"/>
      <c r="H144" s="22"/>
      <c r="I144" s="22"/>
      <c r="J144" s="22"/>
      <c r="K144" s="22"/>
      <c r="L144" s="12"/>
    </row>
    <row r="145" spans="2:12" s="32" customFormat="1" x14ac:dyDescent="0.2">
      <c r="B145" s="20" t="s">
        <v>116</v>
      </c>
      <c r="C145" s="148" t="str">
        <f>Projeções!$K$13</f>
        <v>R$</v>
      </c>
      <c r="D145" s="30"/>
      <c r="E145" s="30"/>
      <c r="F145" s="106">
        <f>SUM(F142:F144)</f>
        <v>2658273.585447425</v>
      </c>
      <c r="G145" s="22"/>
      <c r="H145" s="22"/>
      <c r="I145" s="22"/>
      <c r="J145" s="22"/>
      <c r="K145" s="22"/>
      <c r="L145" s="13"/>
    </row>
    <row r="146" spans="2:12" x14ac:dyDescent="0.2">
      <c r="B146" s="22"/>
      <c r="C146" s="149"/>
      <c r="D146" s="33"/>
      <c r="E146" s="33"/>
      <c r="F146" s="37"/>
      <c r="G146" s="22"/>
      <c r="H146" s="22"/>
      <c r="I146" s="22"/>
      <c r="J146" s="22"/>
      <c r="K146" s="22"/>
      <c r="L146" s="12"/>
    </row>
    <row r="147" spans="2:12" x14ac:dyDescent="0.2">
      <c r="B147" s="20" t="s">
        <v>117</v>
      </c>
      <c r="C147" s="149"/>
      <c r="D147" s="33"/>
      <c r="E147" s="33"/>
      <c r="F147" s="37"/>
      <c r="G147" s="22"/>
      <c r="H147" s="22"/>
      <c r="I147" s="22"/>
      <c r="J147" s="22"/>
      <c r="K147" s="22"/>
      <c r="L147" s="12"/>
    </row>
    <row r="148" spans="2:12" x14ac:dyDescent="0.2">
      <c r="B148" s="22" t="s">
        <v>28</v>
      </c>
      <c r="C148" s="149" t="s">
        <v>15</v>
      </c>
      <c r="D148" s="33"/>
      <c r="E148" s="22"/>
      <c r="F148" s="27">
        <f>F142/F51</f>
        <v>3.7546019334724696</v>
      </c>
      <c r="G148" s="22"/>
      <c r="H148" s="22"/>
      <c r="I148" s="22"/>
      <c r="J148" s="22"/>
      <c r="K148" s="22"/>
      <c r="L148" s="12"/>
    </row>
    <row r="149" spans="2:12" x14ac:dyDescent="0.2">
      <c r="B149" s="22" t="s">
        <v>29</v>
      </c>
      <c r="C149" s="149" t="s">
        <v>23</v>
      </c>
      <c r="D149" s="33"/>
      <c r="E149" s="22"/>
      <c r="F149" s="27">
        <f>F145/F65</f>
        <v>5.0924781330410438</v>
      </c>
      <c r="G149" s="22"/>
      <c r="H149" s="22"/>
      <c r="I149" s="22"/>
      <c r="J149" s="22"/>
      <c r="K149" s="22"/>
      <c r="L149" s="12"/>
    </row>
    <row r="150" spans="2:12" x14ac:dyDescent="0.2">
      <c r="B150" s="22" t="s">
        <v>30</v>
      </c>
      <c r="C150" s="23" t="s">
        <v>23</v>
      </c>
      <c r="D150" s="22"/>
      <c r="E150" s="22"/>
      <c r="F150" s="27">
        <f>F145/F32</f>
        <v>1.0109426071296539</v>
      </c>
      <c r="G150" s="22"/>
      <c r="H150" s="22"/>
      <c r="I150" s="22"/>
      <c r="J150" s="22"/>
      <c r="K150" s="22"/>
      <c r="L150" s="12"/>
    </row>
    <row r="151" spans="2:12" x14ac:dyDescent="0.2">
      <c r="B151" s="22"/>
      <c r="C151" s="23"/>
      <c r="D151" s="22"/>
      <c r="E151" s="22"/>
      <c r="F151" s="22"/>
      <c r="G151" s="22"/>
      <c r="H151" s="22"/>
      <c r="I151" s="22"/>
      <c r="J151" s="22"/>
      <c r="K151" s="22"/>
      <c r="L151" s="12"/>
    </row>
    <row r="152" spans="2:12" x14ac:dyDescent="0.2">
      <c r="L152" s="12"/>
    </row>
    <row r="153" spans="2:12" x14ac:dyDescent="0.2">
      <c r="B153" s="16" t="str">
        <f>+B120</f>
        <v>Todos os valores em milhares R$</v>
      </c>
      <c r="C153" s="125"/>
      <c r="D153" s="12"/>
      <c r="E153" s="12"/>
      <c r="F153" s="12"/>
      <c r="G153" s="12"/>
      <c r="H153" s="17"/>
      <c r="I153" s="18"/>
      <c r="J153" s="18"/>
      <c r="K153" s="18"/>
      <c r="L153" s="12"/>
    </row>
    <row r="154" spans="2:12" x14ac:dyDescent="0.2">
      <c r="B154" s="19" t="s">
        <v>22</v>
      </c>
      <c r="C154" s="132"/>
      <c r="D154" s="19"/>
      <c r="E154" s="19"/>
      <c r="F154" s="19"/>
      <c r="G154" s="19"/>
      <c r="H154" s="19"/>
      <c r="I154" s="19"/>
      <c r="J154" s="19"/>
      <c r="K154" s="19"/>
      <c r="L154" s="12"/>
    </row>
    <row r="155" spans="2:12" x14ac:dyDescent="0.2">
      <c r="B155" s="20"/>
      <c r="C155" s="68"/>
      <c r="D155" s="18"/>
      <c r="E155" s="18"/>
      <c r="F155" s="18"/>
      <c r="G155" s="18"/>
      <c r="H155" s="22"/>
      <c r="I155" s="18"/>
      <c r="J155" s="18"/>
      <c r="K155" s="18"/>
      <c r="L155" s="12"/>
    </row>
    <row r="156" spans="2:12" x14ac:dyDescent="0.2">
      <c r="B156" s="20" t="s">
        <v>113</v>
      </c>
      <c r="C156" s="124"/>
      <c r="D156" s="20" t="str">
        <f>$K$13</f>
        <v>R$</v>
      </c>
      <c r="E156" s="106">
        <f>Projeções!F142</f>
        <v>3078773.585447425</v>
      </c>
      <c r="F156" s="18"/>
      <c r="G156" s="18"/>
      <c r="H156" s="21"/>
      <c r="I156" s="18"/>
      <c r="J156" s="18"/>
      <c r="K156" s="18"/>
      <c r="L156" s="12"/>
    </row>
    <row r="157" spans="2:12" s="32" customFormat="1" x14ac:dyDescent="0.2">
      <c r="B157" s="18" t="str">
        <f>+B143</f>
        <v>Caixa e Equivalente de Caixa</v>
      </c>
      <c r="C157" s="68"/>
      <c r="D157" s="22" t="str">
        <f>$K$13</f>
        <v>R$</v>
      </c>
      <c r="E157" s="105">
        <f>Projeções!F24</f>
        <v>3079500</v>
      </c>
      <c r="F157" s="18"/>
      <c r="G157" s="18"/>
      <c r="H157" s="21"/>
      <c r="I157" s="18"/>
      <c r="J157" s="18"/>
      <c r="K157" s="18"/>
      <c r="L157" s="13"/>
    </row>
    <row r="158" spans="2:12" x14ac:dyDescent="0.2">
      <c r="B158" s="39" t="str">
        <f>+B144</f>
        <v>Financiamentos</v>
      </c>
      <c r="C158" s="150"/>
      <c r="D158" s="22" t="str">
        <f>$K$13</f>
        <v>R$</v>
      </c>
      <c r="E158" s="105">
        <f>-Projeções!F31</f>
        <v>-3500000</v>
      </c>
      <c r="F158" s="18"/>
      <c r="G158" s="18"/>
      <c r="H158" s="21"/>
      <c r="I158" s="18"/>
      <c r="J158" s="18"/>
      <c r="K158" s="18"/>
      <c r="L158" s="12"/>
    </row>
    <row r="159" spans="2:12" x14ac:dyDescent="0.2">
      <c r="B159" s="29" t="str">
        <f>+B145</f>
        <v>Valor do Acionista</v>
      </c>
      <c r="C159" s="147"/>
      <c r="D159" s="20" t="str">
        <f>$K$13</f>
        <v>R$</v>
      </c>
      <c r="E159" s="106">
        <f>SUM(E156:E158)</f>
        <v>2658273.585447425</v>
      </c>
      <c r="F159" s="18"/>
      <c r="G159" s="18"/>
      <c r="H159" s="21"/>
      <c r="I159" s="18"/>
      <c r="J159" s="18"/>
      <c r="K159" s="18"/>
      <c r="L159" s="12"/>
    </row>
    <row r="160" spans="2:12" x14ac:dyDescent="0.2">
      <c r="B160" s="29"/>
      <c r="C160" s="147"/>
      <c r="D160" s="20"/>
      <c r="E160" s="31"/>
      <c r="F160" s="18"/>
      <c r="G160" s="18"/>
      <c r="H160" s="21"/>
      <c r="I160" s="18"/>
      <c r="J160" s="18"/>
      <c r="K160" s="18"/>
      <c r="L160" s="12"/>
    </row>
    <row r="161" spans="2:12" x14ac:dyDescent="0.2">
      <c r="B161" s="29" t="str">
        <f t="shared" ref="B161:B164" si="59">+B147</f>
        <v>Múltiplos</v>
      </c>
      <c r="C161" s="68"/>
      <c r="D161" s="41"/>
      <c r="E161" s="42"/>
      <c r="F161" s="18"/>
      <c r="G161" s="18"/>
      <c r="H161" s="21"/>
      <c r="I161" s="18"/>
      <c r="J161" s="18"/>
      <c r="K161" s="18"/>
      <c r="L161" s="12"/>
    </row>
    <row r="162" spans="2:12" s="32" customFormat="1" x14ac:dyDescent="0.2">
      <c r="B162" s="18" t="str">
        <f t="shared" si="59"/>
        <v>EV/EBITDA</v>
      </c>
      <c r="C162" s="68"/>
      <c r="D162" s="43" t="s">
        <v>23</v>
      </c>
      <c r="E162" s="43">
        <f>Projeções!F148</f>
        <v>3.7546019334724696</v>
      </c>
      <c r="F162" s="18"/>
      <c r="G162" s="18"/>
      <c r="H162" s="21"/>
      <c r="I162" s="18"/>
      <c r="J162" s="18"/>
      <c r="K162" s="18"/>
      <c r="L162" s="13"/>
    </row>
    <row r="163" spans="2:12" x14ac:dyDescent="0.2">
      <c r="B163" s="18" t="str">
        <f t="shared" si="59"/>
        <v>PE</v>
      </c>
      <c r="C163" s="68"/>
      <c r="D163" s="43" t="s">
        <v>23</v>
      </c>
      <c r="E163" s="43">
        <f>Projeções!F149</f>
        <v>5.0924781330410438</v>
      </c>
      <c r="F163" s="18"/>
      <c r="G163" s="18"/>
      <c r="H163" s="21"/>
      <c r="I163" s="18"/>
      <c r="J163" s="18"/>
      <c r="K163" s="18"/>
      <c r="L163" s="12"/>
    </row>
    <row r="164" spans="2:12" x14ac:dyDescent="0.2">
      <c r="B164" s="18" t="str">
        <f t="shared" si="59"/>
        <v>P/B</v>
      </c>
      <c r="C164" s="68"/>
      <c r="D164" s="43" t="s">
        <v>23</v>
      </c>
      <c r="E164" s="43">
        <f>Projeções!F150</f>
        <v>1.0109426071296539</v>
      </c>
      <c r="F164" s="43"/>
      <c r="G164" s="43"/>
      <c r="H164" s="21"/>
      <c r="I164" s="18"/>
      <c r="J164" s="18"/>
      <c r="K164" s="18"/>
      <c r="L164" s="12"/>
    </row>
    <row r="165" spans="2:12" x14ac:dyDescent="0.2">
      <c r="B165" s="18"/>
      <c r="C165" s="68"/>
      <c r="D165" s="43"/>
      <c r="E165" s="43"/>
      <c r="F165" s="43"/>
      <c r="G165" s="43"/>
      <c r="H165" s="21"/>
      <c r="I165" s="18"/>
      <c r="J165" s="18"/>
      <c r="K165" s="18"/>
      <c r="L165" s="12"/>
    </row>
    <row r="166" spans="2:12" x14ac:dyDescent="0.2">
      <c r="B166" s="92" t="s">
        <v>118</v>
      </c>
      <c r="C166" s="68"/>
      <c r="D166" s="18"/>
      <c r="E166" s="43"/>
      <c r="F166" s="43"/>
      <c r="G166" s="43"/>
      <c r="H166" s="21"/>
      <c r="I166" s="18"/>
      <c r="J166" s="18"/>
      <c r="K166" s="18"/>
    </row>
    <row r="167" spans="2:12" x14ac:dyDescent="0.2">
      <c r="B167" s="45" t="s">
        <v>49</v>
      </c>
      <c r="C167" s="68"/>
      <c r="D167" s="18"/>
      <c r="E167" s="44">
        <f>SUM(Projeções!F34:K34)</f>
        <v>0</v>
      </c>
      <c r="F167" s="43"/>
      <c r="G167" s="43"/>
      <c r="H167" s="21"/>
      <c r="I167" s="18"/>
      <c r="J167" s="18"/>
      <c r="K167" s="18"/>
      <c r="L167" s="12"/>
    </row>
    <row r="168" spans="2:12" x14ac:dyDescent="0.2">
      <c r="B168" s="18"/>
      <c r="C168" s="68"/>
      <c r="D168" s="43"/>
      <c r="E168" s="43"/>
      <c r="F168" s="43"/>
      <c r="G168" s="43"/>
      <c r="H168" s="21"/>
      <c r="I168" s="18"/>
      <c r="J168" s="18"/>
      <c r="K168" s="18"/>
      <c r="L168" s="12"/>
    </row>
    <row r="169" spans="2:12" x14ac:dyDescent="0.2">
      <c r="B169" s="18"/>
      <c r="C169" s="68"/>
      <c r="D169" s="18"/>
      <c r="E169" s="18"/>
      <c r="F169" s="18"/>
      <c r="G169" s="18"/>
      <c r="H169" s="21"/>
      <c r="I169" s="18"/>
      <c r="J169" s="18"/>
      <c r="K169" s="18"/>
      <c r="L169" s="12"/>
    </row>
    <row r="170" spans="2:12" x14ac:dyDescent="0.2">
      <c r="B170" s="12"/>
      <c r="C170" s="121"/>
      <c r="D170" s="12"/>
      <c r="E170" s="12"/>
      <c r="F170" s="12"/>
      <c r="G170" s="12"/>
      <c r="H170" s="17"/>
      <c r="I170" s="18"/>
      <c r="J170" s="18"/>
      <c r="K170" s="18"/>
      <c r="L170" s="12"/>
    </row>
    <row r="171" spans="2:12" x14ac:dyDescent="0.2">
      <c r="L171" s="12"/>
    </row>
    <row r="172" spans="2:12" x14ac:dyDescent="0.2">
      <c r="B172" s="16" t="str">
        <f>+B153</f>
        <v>Todos os valores em milhares R$</v>
      </c>
      <c r="C172" s="125"/>
      <c r="D172" s="32"/>
      <c r="E172" s="32"/>
      <c r="F172" s="32"/>
      <c r="G172" s="12"/>
      <c r="H172" s="12"/>
      <c r="I172" s="12"/>
      <c r="J172" s="12"/>
      <c r="K172" s="12"/>
      <c r="L172" s="12"/>
    </row>
    <row r="173" spans="2:12" x14ac:dyDescent="0.2">
      <c r="B173" s="84" t="s">
        <v>32</v>
      </c>
      <c r="C173" s="126"/>
      <c r="D173" s="84"/>
      <c r="E173" s="84"/>
      <c r="F173" s="84"/>
      <c r="G173" s="84"/>
      <c r="H173" s="84"/>
      <c r="I173" s="84"/>
      <c r="J173" s="84"/>
      <c r="K173" s="84"/>
      <c r="L173" s="12"/>
    </row>
    <row r="174" spans="2:12" x14ac:dyDescent="0.2">
      <c r="B174" s="22" t="str">
        <f>Projeções!K13</f>
        <v>R$</v>
      </c>
      <c r="C174" s="23"/>
      <c r="D174" s="22"/>
      <c r="E174" s="22"/>
      <c r="F174" s="22"/>
      <c r="G174" s="18"/>
      <c r="H174" s="18"/>
      <c r="I174" s="18"/>
      <c r="J174" s="18"/>
      <c r="K174" s="18"/>
      <c r="L174" s="12"/>
    </row>
    <row r="175" spans="2:12" x14ac:dyDescent="0.2">
      <c r="B175" s="18"/>
      <c r="C175" s="68"/>
      <c r="D175" s="18"/>
      <c r="E175" s="18"/>
      <c r="F175" s="18"/>
      <c r="G175" s="18"/>
      <c r="H175" s="18"/>
      <c r="I175" s="18"/>
      <c r="J175" s="18"/>
      <c r="K175" s="18"/>
      <c r="L175" s="12"/>
    </row>
    <row r="176" spans="2:12" x14ac:dyDescent="0.2">
      <c r="B176" s="18"/>
      <c r="C176" s="68"/>
      <c r="D176" s="18"/>
      <c r="E176" s="18"/>
      <c r="F176" s="18"/>
      <c r="G176" s="18"/>
      <c r="H176" s="18"/>
      <c r="I176" s="18"/>
      <c r="J176" s="18"/>
      <c r="K176" s="18"/>
      <c r="L176" s="12"/>
    </row>
    <row r="177" spans="2:12" x14ac:dyDescent="0.2">
      <c r="B177" s="18"/>
      <c r="C177" s="68"/>
      <c r="D177" s="18"/>
      <c r="E177" s="18"/>
      <c r="F177" s="18"/>
      <c r="G177" s="18"/>
      <c r="H177" s="18"/>
      <c r="I177" s="18"/>
      <c r="J177" s="18"/>
      <c r="K177" s="18"/>
      <c r="L177" s="12"/>
    </row>
    <row r="178" spans="2:12" x14ac:dyDescent="0.2">
      <c r="B178" s="18"/>
      <c r="C178" s="68"/>
      <c r="D178" s="18"/>
      <c r="E178" s="18"/>
      <c r="F178" s="18"/>
      <c r="G178" s="18"/>
      <c r="H178" s="18"/>
      <c r="I178" s="18"/>
      <c r="J178" s="18"/>
      <c r="K178" s="18"/>
      <c r="L178" s="12"/>
    </row>
    <row r="179" spans="2:12" x14ac:dyDescent="0.2">
      <c r="B179" s="18"/>
      <c r="C179" s="68"/>
      <c r="D179" s="18"/>
      <c r="E179" s="18"/>
      <c r="F179" s="18"/>
      <c r="G179" s="18"/>
      <c r="H179" s="18"/>
      <c r="I179" s="18"/>
      <c r="J179" s="18"/>
      <c r="K179" s="18"/>
      <c r="L179" s="12"/>
    </row>
    <row r="180" spans="2:12" x14ac:dyDescent="0.2">
      <c r="B180" s="18"/>
      <c r="C180" s="68"/>
      <c r="D180" s="18"/>
      <c r="E180" s="18"/>
      <c r="F180" s="18"/>
      <c r="G180" s="18"/>
      <c r="H180" s="18"/>
      <c r="I180" s="18"/>
      <c r="J180" s="18"/>
      <c r="K180" s="18"/>
      <c r="L180" s="12"/>
    </row>
    <row r="181" spans="2:12" s="32" customFormat="1" x14ac:dyDescent="0.2">
      <c r="B181" s="18"/>
      <c r="C181" s="68"/>
      <c r="D181" s="18"/>
      <c r="E181" s="18"/>
      <c r="F181" s="18"/>
      <c r="G181" s="18"/>
      <c r="H181" s="18"/>
      <c r="I181" s="18"/>
      <c r="J181" s="18"/>
      <c r="K181" s="18"/>
      <c r="L181" s="13"/>
    </row>
    <row r="182" spans="2:12" x14ac:dyDescent="0.2">
      <c r="B182" s="18"/>
      <c r="C182" s="68"/>
      <c r="D182" s="18"/>
      <c r="E182" s="18"/>
      <c r="F182" s="18"/>
      <c r="G182" s="18"/>
      <c r="H182" s="18"/>
      <c r="I182" s="18"/>
      <c r="J182" s="18"/>
      <c r="K182" s="18"/>
      <c r="L182" s="12"/>
    </row>
    <row r="183" spans="2:12" x14ac:dyDescent="0.2">
      <c r="B183" s="18"/>
      <c r="C183" s="68"/>
      <c r="D183" s="18"/>
      <c r="E183" s="18"/>
      <c r="F183" s="18"/>
      <c r="G183" s="18"/>
      <c r="H183" s="18"/>
      <c r="I183" s="18"/>
      <c r="J183" s="18"/>
      <c r="K183" s="18"/>
      <c r="L183" s="12"/>
    </row>
    <row r="184" spans="2:12" x14ac:dyDescent="0.2">
      <c r="B184" s="18"/>
      <c r="C184" s="68"/>
      <c r="D184" s="18"/>
      <c r="E184" s="18"/>
      <c r="F184" s="18"/>
      <c r="G184" s="18"/>
      <c r="H184" s="18"/>
      <c r="I184" s="18"/>
      <c r="J184" s="18"/>
      <c r="K184" s="18"/>
      <c r="L184" s="12"/>
    </row>
    <row r="185" spans="2:12" x14ac:dyDescent="0.2">
      <c r="B185" s="18"/>
      <c r="C185" s="68"/>
      <c r="D185" s="18"/>
      <c r="E185" s="18"/>
      <c r="F185" s="18"/>
      <c r="G185" s="18"/>
      <c r="H185" s="18"/>
      <c r="I185" s="18"/>
      <c r="J185" s="18"/>
      <c r="K185" s="18"/>
      <c r="L185" s="12"/>
    </row>
    <row r="186" spans="2:12" x14ac:dyDescent="0.2">
      <c r="B186" s="18"/>
      <c r="C186" s="68"/>
      <c r="D186" s="18"/>
      <c r="E186" s="18"/>
      <c r="F186" s="18"/>
      <c r="G186" s="18"/>
      <c r="H186" s="18"/>
      <c r="I186" s="18"/>
      <c r="J186" s="18"/>
      <c r="K186" s="18"/>
      <c r="L186" s="12"/>
    </row>
    <row r="187" spans="2:12" x14ac:dyDescent="0.2">
      <c r="B187" s="18"/>
      <c r="C187" s="68"/>
      <c r="D187" s="18"/>
      <c r="E187" s="18"/>
      <c r="F187" s="18"/>
      <c r="G187" s="18"/>
      <c r="H187" s="18"/>
      <c r="I187" s="18"/>
      <c r="J187" s="18"/>
      <c r="K187" s="18"/>
      <c r="L187" s="12"/>
    </row>
    <row r="188" spans="2:12" s="32" customFormat="1" x14ac:dyDescent="0.2">
      <c r="B188" s="18"/>
      <c r="C188" s="68"/>
      <c r="D188" s="18"/>
      <c r="E188" s="18"/>
      <c r="F188" s="18"/>
      <c r="G188" s="18"/>
      <c r="H188" s="18"/>
      <c r="I188" s="18"/>
      <c r="J188" s="18"/>
      <c r="K188" s="18"/>
      <c r="L188" s="13"/>
    </row>
    <row r="189" spans="2:12" x14ac:dyDescent="0.2">
      <c r="B189" s="18"/>
      <c r="C189" s="68"/>
      <c r="D189" s="18"/>
      <c r="E189" s="18"/>
      <c r="F189" s="18"/>
      <c r="G189" s="18"/>
      <c r="H189" s="18"/>
      <c r="I189" s="18"/>
      <c r="J189" s="18"/>
      <c r="K189" s="18"/>
      <c r="L189" s="12"/>
    </row>
    <row r="190" spans="2:12" x14ac:dyDescent="0.2">
      <c r="B190" s="18"/>
      <c r="C190" s="68"/>
      <c r="D190" s="18"/>
      <c r="E190" s="18"/>
      <c r="F190" s="18"/>
      <c r="G190" s="18"/>
      <c r="H190" s="18"/>
      <c r="I190" s="18"/>
      <c r="J190" s="18"/>
      <c r="K190" s="18"/>
      <c r="L190" s="12"/>
    </row>
    <row r="191" spans="2:12" x14ac:dyDescent="0.2">
      <c r="B191" s="45"/>
      <c r="C191" s="151"/>
      <c r="D191" s="18"/>
      <c r="E191" s="18"/>
      <c r="F191" s="18"/>
      <c r="G191" s="46"/>
      <c r="H191" s="21"/>
      <c r="I191" s="18"/>
      <c r="J191" s="18"/>
      <c r="K191" s="18"/>
      <c r="L191" s="12"/>
    </row>
    <row r="192" spans="2:12" x14ac:dyDescent="0.2">
      <c r="L192" s="12"/>
    </row>
    <row r="193" spans="1:12" x14ac:dyDescent="0.2">
      <c r="B193" s="16" t="str">
        <f>+B172</f>
        <v>Todos os valores em milhares R$</v>
      </c>
      <c r="C193" s="125"/>
      <c r="D193" s="16"/>
      <c r="E193" s="16"/>
      <c r="F193" s="12"/>
      <c r="G193" s="12"/>
      <c r="H193" s="12"/>
      <c r="I193" s="12"/>
      <c r="J193" s="12"/>
      <c r="K193" s="12"/>
      <c r="L193" s="12"/>
    </row>
    <row r="194" spans="1:12" x14ac:dyDescent="0.2">
      <c r="B194" s="84" t="s">
        <v>0</v>
      </c>
      <c r="C194" s="126" t="s">
        <v>1</v>
      </c>
      <c r="D194" s="85">
        <f>E194-1</f>
        <v>2017</v>
      </c>
      <c r="E194" s="85">
        <f>F194-1</f>
        <v>2018</v>
      </c>
      <c r="F194" s="85">
        <f t="shared" ref="F194:K194" si="60">F$38</f>
        <v>2019</v>
      </c>
      <c r="G194" s="86">
        <f t="shared" si="60"/>
        <v>2020</v>
      </c>
      <c r="H194" s="86">
        <f t="shared" si="60"/>
        <v>2021</v>
      </c>
      <c r="I194" s="86">
        <f t="shared" si="60"/>
        <v>2022</v>
      </c>
      <c r="J194" s="86">
        <f t="shared" si="60"/>
        <v>2023</v>
      </c>
      <c r="K194" s="86">
        <f t="shared" si="60"/>
        <v>2024</v>
      </c>
      <c r="L194" s="12"/>
    </row>
    <row r="195" spans="1:12" x14ac:dyDescent="0.2">
      <c r="B195" s="65"/>
      <c r="C195" s="152"/>
      <c r="D195" s="65"/>
      <c r="E195" s="65"/>
      <c r="F195" s="66"/>
      <c r="G195" s="66"/>
      <c r="H195" s="66"/>
      <c r="I195" s="66"/>
      <c r="J195" s="66"/>
      <c r="K195" s="66"/>
      <c r="L195" s="12"/>
    </row>
    <row r="196" spans="1:12" x14ac:dyDescent="0.2">
      <c r="B196" s="18" t="s">
        <v>119</v>
      </c>
      <c r="C196" s="68" t="s">
        <v>16</v>
      </c>
      <c r="D196" s="67">
        <f t="shared" ref="D196:K196" si="61">D31/D51</f>
        <v>1.8518518518518519</v>
      </c>
      <c r="E196" s="67">
        <f t="shared" si="61"/>
        <v>4.0404040404040407</v>
      </c>
      <c r="F196" s="67">
        <f t="shared" si="61"/>
        <v>4.2682926829268295</v>
      </c>
      <c r="G196" s="67">
        <f t="shared" si="61"/>
        <v>3.9766081871345027</v>
      </c>
      <c r="H196" s="67">
        <f t="shared" si="61"/>
        <v>3.7361354349095155</v>
      </c>
      <c r="I196" s="67">
        <f t="shared" si="61"/>
        <v>2.610227742370522</v>
      </c>
      <c r="J196" s="67">
        <f t="shared" si="61"/>
        <v>2.6197819265455253</v>
      </c>
      <c r="K196" s="67">
        <f t="shared" si="61"/>
        <v>2.3739288288147939</v>
      </c>
      <c r="L196" s="12"/>
    </row>
    <row r="197" spans="1:12" x14ac:dyDescent="0.2">
      <c r="B197" s="71" t="s">
        <v>120</v>
      </c>
      <c r="C197" s="68" t="s">
        <v>16</v>
      </c>
      <c r="D197" s="67" t="s">
        <v>25</v>
      </c>
      <c r="E197" s="67" t="s">
        <v>25</v>
      </c>
      <c r="F197" s="67" t="s">
        <v>25</v>
      </c>
      <c r="G197" s="67">
        <f>IF(-G86-G87&lt;=0,"NA",G134/(-(G86+G87)))</f>
        <v>-0.80294501362188631</v>
      </c>
      <c r="H197" s="67">
        <f>IF(-H86-H87&lt;=0,"NA",H134/(-(H86+H87)))</f>
        <v>0.21761030423062108</v>
      </c>
      <c r="I197" s="67">
        <f>IF(-I86-I87&lt;=0,"NA",I134/(-(I86+I87)))</f>
        <v>1.1545543787699422</v>
      </c>
      <c r="J197" s="67">
        <f>IF(-J86-J87&lt;=0,"NA",J134/(-(J86+J87)))</f>
        <v>0.71861624364198562</v>
      </c>
      <c r="K197" s="67">
        <f>IF(-K86-K87&lt;=0,"NA",K134/(-(K86+K87)))</f>
        <v>15.505422466364971</v>
      </c>
      <c r="L197" s="12"/>
    </row>
    <row r="198" spans="1:12" x14ac:dyDescent="0.2">
      <c r="B198" s="71" t="s">
        <v>121</v>
      </c>
      <c r="C198" s="68" t="s">
        <v>16</v>
      </c>
      <c r="D198" s="67">
        <f t="shared" ref="D198:K198" si="62">IF(-D58&lt;=0,"NA",-D55/D58)</f>
        <v>45.75</v>
      </c>
      <c r="E198" s="67">
        <f t="shared" si="62"/>
        <v>19.75</v>
      </c>
      <c r="F198" s="67">
        <f t="shared" si="62"/>
        <v>12.5</v>
      </c>
      <c r="G198" s="67">
        <f t="shared" si="62"/>
        <v>5.0845410628019323</v>
      </c>
      <c r="H198" s="67">
        <f t="shared" si="62"/>
        <v>5.099747474747474</v>
      </c>
      <c r="I198" s="67">
        <f t="shared" si="62"/>
        <v>7.5214381720430099</v>
      </c>
      <c r="J198" s="67">
        <f t="shared" si="62"/>
        <v>7.1160165229885051</v>
      </c>
      <c r="K198" s="67">
        <f t="shared" si="62"/>
        <v>6.4373223379629634</v>
      </c>
      <c r="L198" s="12"/>
    </row>
    <row r="199" spans="1:12" x14ac:dyDescent="0.2">
      <c r="B199" s="18"/>
      <c r="C199" s="68"/>
      <c r="D199" s="68"/>
      <c r="E199" s="68"/>
      <c r="F199" s="69"/>
      <c r="G199" s="69"/>
      <c r="H199" s="69"/>
      <c r="I199" s="69"/>
      <c r="J199" s="69"/>
      <c r="K199" s="69"/>
      <c r="L199" s="12"/>
    </row>
    <row r="200" spans="1:12" x14ac:dyDescent="0.2">
      <c r="B200" s="71" t="s">
        <v>122</v>
      </c>
      <c r="C200" s="68" t="s">
        <v>9</v>
      </c>
      <c r="D200" s="67">
        <f t="shared" ref="D200:K200" si="63">IF(ISERR(SUM(D24:D26)/SUM(D30:D30)),"NA",SUM(D24:D26)/SUM(D30:D30))</f>
        <v>5.4347826086956523</v>
      </c>
      <c r="E200" s="67">
        <f t="shared" si="63"/>
        <v>13.446969696969697</v>
      </c>
      <c r="F200" s="67">
        <f t="shared" si="63"/>
        <v>9.51</v>
      </c>
      <c r="G200" s="67">
        <f t="shared" si="63"/>
        <v>11.391107120588602</v>
      </c>
      <c r="H200" s="67">
        <f t="shared" si="63"/>
        <v>10.481447158237282</v>
      </c>
      <c r="I200" s="67">
        <f t="shared" si="63"/>
        <v>10.402460375429218</v>
      </c>
      <c r="J200" s="67">
        <f t="shared" si="63"/>
        <v>9.9820326737495932</v>
      </c>
      <c r="K200" s="67">
        <f t="shared" si="63"/>
        <v>9.9757565793247363</v>
      </c>
      <c r="L200" s="12"/>
    </row>
    <row r="201" spans="1:12" x14ac:dyDescent="0.2">
      <c r="A201" s="70"/>
      <c r="B201" s="18" t="s">
        <v>123</v>
      </c>
      <c r="C201" s="68" t="s">
        <v>126</v>
      </c>
      <c r="D201" s="61">
        <f t="shared" ref="D201:K201" si="64">D25/D40*365</f>
        <v>57.631578947368418</v>
      </c>
      <c r="E201" s="61">
        <f t="shared" si="64"/>
        <v>44.611111111111107</v>
      </c>
      <c r="F201" s="61">
        <f t="shared" si="64"/>
        <v>43.8</v>
      </c>
      <c r="G201" s="61">
        <f t="shared" si="64"/>
        <v>60</v>
      </c>
      <c r="H201" s="61">
        <f t="shared" si="64"/>
        <v>60</v>
      </c>
      <c r="I201" s="61">
        <f t="shared" si="64"/>
        <v>60</v>
      </c>
      <c r="J201" s="61">
        <f t="shared" si="64"/>
        <v>60</v>
      </c>
      <c r="K201" s="61">
        <f t="shared" si="64"/>
        <v>60</v>
      </c>
      <c r="L201" s="12"/>
    </row>
    <row r="202" spans="1:12" x14ac:dyDescent="0.2">
      <c r="A202" s="70"/>
      <c r="B202" s="18" t="s">
        <v>124</v>
      </c>
      <c r="C202" s="68" t="s">
        <v>127</v>
      </c>
      <c r="D202" s="61">
        <f t="shared" ref="D202:K202" si="65">-D26/D43*365</f>
        <v>91.25</v>
      </c>
      <c r="E202" s="61">
        <f t="shared" si="65"/>
        <v>80.3</v>
      </c>
      <c r="F202" s="61">
        <f t="shared" si="65"/>
        <v>84.230769230769241</v>
      </c>
      <c r="G202" s="61">
        <f t="shared" si="65"/>
        <v>69.999999999999986</v>
      </c>
      <c r="H202" s="61">
        <f t="shared" si="65"/>
        <v>70</v>
      </c>
      <c r="I202" s="61">
        <f t="shared" si="65"/>
        <v>69.999999999999986</v>
      </c>
      <c r="J202" s="61">
        <f t="shared" si="65"/>
        <v>70</v>
      </c>
      <c r="K202" s="61">
        <f t="shared" si="65"/>
        <v>70</v>
      </c>
      <c r="L202" s="12"/>
    </row>
    <row r="203" spans="1:12" x14ac:dyDescent="0.2">
      <c r="A203" s="70"/>
      <c r="B203" s="18" t="s">
        <v>125</v>
      </c>
      <c r="C203" s="68" t="s">
        <v>127</v>
      </c>
      <c r="D203" s="61">
        <f t="shared" ref="D203:K203" si="66">-D30/D43*365</f>
        <v>46.638888888888886</v>
      </c>
      <c r="E203" s="61">
        <f t="shared" si="66"/>
        <v>48.18</v>
      </c>
      <c r="F203" s="61">
        <f t="shared" si="66"/>
        <v>63.17307692307692</v>
      </c>
      <c r="G203" s="61">
        <f t="shared" si="66"/>
        <v>45</v>
      </c>
      <c r="H203" s="61">
        <f t="shared" si="66"/>
        <v>45</v>
      </c>
      <c r="I203" s="61">
        <f t="shared" si="66"/>
        <v>44.999999999999993</v>
      </c>
      <c r="J203" s="61">
        <f t="shared" si="66"/>
        <v>45</v>
      </c>
      <c r="K203" s="61">
        <f t="shared" si="66"/>
        <v>45</v>
      </c>
      <c r="L203" s="12"/>
    </row>
    <row r="204" spans="1:12" x14ac:dyDescent="0.2">
      <c r="B204" s="18"/>
      <c r="C204" s="68"/>
      <c r="D204" s="68"/>
      <c r="E204" s="68"/>
      <c r="F204" s="69"/>
      <c r="G204" s="69"/>
      <c r="H204" s="69"/>
      <c r="I204" s="69"/>
      <c r="J204" s="69"/>
      <c r="K204" s="69"/>
      <c r="L204" s="12"/>
    </row>
    <row r="205" spans="1:12" x14ac:dyDescent="0.2">
      <c r="B205" s="18" t="s">
        <v>128</v>
      </c>
      <c r="C205" s="130" t="s">
        <v>10</v>
      </c>
      <c r="D205" s="69">
        <f t="shared" ref="D205:K205" si="67">D52</f>
        <v>0.2131578947368421</v>
      </c>
      <c r="E205" s="69">
        <f t="shared" si="67"/>
        <v>0.22</v>
      </c>
      <c r="F205" s="69">
        <f t="shared" si="67"/>
        <v>0.16400000000000001</v>
      </c>
      <c r="G205" s="69">
        <f t="shared" si="67"/>
        <v>0.15545454545454546</v>
      </c>
      <c r="H205" s="69">
        <f t="shared" si="67"/>
        <v>0.14831168831168831</v>
      </c>
      <c r="I205" s="69">
        <f t="shared" si="67"/>
        <v>0.18954030096887239</v>
      </c>
      <c r="J205" s="69">
        <f t="shared" si="67"/>
        <v>0.16786583031480989</v>
      </c>
      <c r="K205" s="69">
        <f t="shared" si="67"/>
        <v>0.16382710907492248</v>
      </c>
      <c r="L205" s="12"/>
    </row>
    <row r="206" spans="1:12" x14ac:dyDescent="0.2">
      <c r="B206" s="18" t="s">
        <v>129</v>
      </c>
      <c r="C206" s="130" t="s">
        <v>21</v>
      </c>
      <c r="D206" s="69" t="s">
        <v>14</v>
      </c>
      <c r="E206" s="69">
        <f t="shared" ref="E206:K206" si="68">IF(ISERR(E40/D40-1),"NA",E40/D40-1)</f>
        <v>0.18421052631578938</v>
      </c>
      <c r="F206" s="69">
        <f t="shared" si="68"/>
        <v>0.11111111111111116</v>
      </c>
      <c r="G206" s="69">
        <f t="shared" si="68"/>
        <v>0.10000000000000009</v>
      </c>
      <c r="H206" s="69">
        <f t="shared" si="68"/>
        <v>5.0000000000000044E-2</v>
      </c>
      <c r="I206" s="69">
        <f t="shared" si="68"/>
        <v>5.0000000000000044E-2</v>
      </c>
      <c r="J206" s="69">
        <f t="shared" si="68"/>
        <v>5.0000000000000044E-2</v>
      </c>
      <c r="K206" s="69">
        <f t="shared" si="68"/>
        <v>5.0000000000000044E-2</v>
      </c>
      <c r="L206" s="12"/>
    </row>
    <row r="207" spans="1:12" x14ac:dyDescent="0.2">
      <c r="B207" s="71" t="s">
        <v>11</v>
      </c>
      <c r="C207" s="130" t="s">
        <v>10</v>
      </c>
      <c r="D207" s="69" t="s">
        <v>25</v>
      </c>
      <c r="E207" s="69" t="s">
        <v>25</v>
      </c>
      <c r="F207" s="69" t="s">
        <v>25</v>
      </c>
      <c r="G207" s="69">
        <f>(G127+G128)/AVERAGE(F210:G210)</f>
        <v>0.13712947125752958</v>
      </c>
      <c r="H207" s="69">
        <f>(H127+H128)/AVERAGE(G210:H210)</f>
        <v>0.11420683219698137</v>
      </c>
      <c r="I207" s="69">
        <f>(I127+I128)/AVERAGE(H210:I210)</f>
        <v>0.14666592466825795</v>
      </c>
      <c r="J207" s="69">
        <f>(J127+J128)/AVERAGE(I210:J210)</f>
        <v>0.12170046546537544</v>
      </c>
      <c r="K207" s="69">
        <f>(K127+K128)/AVERAGE(J210:K210)</f>
        <v>9.8308042545693641E-2</v>
      </c>
      <c r="L207" s="12"/>
    </row>
    <row r="208" spans="1:12" x14ac:dyDescent="0.2">
      <c r="B208" s="71" t="s">
        <v>12</v>
      </c>
      <c r="C208" s="130" t="s">
        <v>5</v>
      </c>
      <c r="D208" s="69">
        <f t="shared" ref="D208:K208" si="69">D65/AVERAGE(C32:D32)</f>
        <v>0.37793427230046944</v>
      </c>
      <c r="E208" s="69">
        <f t="shared" si="69"/>
        <v>0.38979447200566975</v>
      </c>
      <c r="F208" s="69">
        <f t="shared" si="69"/>
        <v>0.22039265357821405</v>
      </c>
      <c r="G208" s="69">
        <f t="shared" si="69"/>
        <v>0.13213236678257226</v>
      </c>
      <c r="H208" s="69">
        <f t="shared" si="69"/>
        <v>0.11231390158501056</v>
      </c>
      <c r="I208" s="69">
        <f t="shared" si="69"/>
        <v>0.14720936266931842</v>
      </c>
      <c r="J208" s="69">
        <f t="shared" si="69"/>
        <v>0.11347129982220606</v>
      </c>
      <c r="K208" s="69">
        <f t="shared" si="69"/>
        <v>8.5097825644779523E-2</v>
      </c>
      <c r="L208" s="12"/>
    </row>
    <row r="209" spans="2:12" x14ac:dyDescent="0.2">
      <c r="B209" s="71" t="s">
        <v>130</v>
      </c>
      <c r="C209" s="130" t="s">
        <v>13</v>
      </c>
      <c r="D209" s="67">
        <f t="shared" ref="D209:K209" si="70">D40/D28</f>
        <v>1.2063492063492063</v>
      </c>
      <c r="E209" s="67">
        <f t="shared" si="70"/>
        <v>0.69902912621359226</v>
      </c>
      <c r="F209" s="67">
        <f t="shared" si="70"/>
        <v>0.75993616536210962</v>
      </c>
      <c r="G209" s="67">
        <f t="shared" si="70"/>
        <v>0.81268565262281101</v>
      </c>
      <c r="H209" s="67">
        <f t="shared" si="70"/>
        <v>0.83175352939613179</v>
      </c>
      <c r="I209" s="67">
        <f t="shared" si="70"/>
        <v>0.83109461094421866</v>
      </c>
      <c r="J209" s="67">
        <f t="shared" si="70"/>
        <v>0.83946393150360665</v>
      </c>
      <c r="K209" s="67">
        <f t="shared" si="70"/>
        <v>0.8578252327535123</v>
      </c>
      <c r="L209" s="12"/>
    </row>
    <row r="210" spans="2:12" x14ac:dyDescent="0.2">
      <c r="B210" s="71" t="s">
        <v>131</v>
      </c>
      <c r="C210" s="149" t="str">
        <f>Projeções!$K$13</f>
        <v>R$</v>
      </c>
      <c r="D210" s="105">
        <f t="shared" ref="D210:K210" si="71">SUM(D25:D27)-SUM(D30:D30)</f>
        <v>2720000</v>
      </c>
      <c r="E210" s="105">
        <f t="shared" si="71"/>
        <v>2770000</v>
      </c>
      <c r="F210" s="105">
        <f t="shared" si="71"/>
        <v>3050000</v>
      </c>
      <c r="G210" s="105">
        <f t="shared" si="71"/>
        <v>3704200.913242009</v>
      </c>
      <c r="H210" s="105">
        <f t="shared" si="71"/>
        <v>4076244.2922374429</v>
      </c>
      <c r="I210" s="105">
        <f t="shared" si="71"/>
        <v>4317723.1735159811</v>
      </c>
      <c r="J210" s="105">
        <f t="shared" si="71"/>
        <v>4635442.6655251142</v>
      </c>
      <c r="K210" s="105">
        <f t="shared" si="71"/>
        <v>4699548.132134703</v>
      </c>
      <c r="L210" s="12"/>
    </row>
    <row r="211" spans="2:12" x14ac:dyDescent="0.2">
      <c r="B211" s="18"/>
      <c r="C211" s="68"/>
      <c r="D211" s="18"/>
      <c r="E211" s="18"/>
      <c r="F211" s="18"/>
      <c r="G211" s="18"/>
      <c r="H211" s="18"/>
      <c r="I211" s="18"/>
      <c r="J211" s="18"/>
      <c r="K211" s="18"/>
      <c r="L211" s="12"/>
    </row>
    <row r="212" spans="2:12" x14ac:dyDescent="0.2">
      <c r="B212" s="18"/>
      <c r="C212" s="68"/>
      <c r="D212" s="18"/>
      <c r="E212" s="18"/>
      <c r="F212" s="18"/>
      <c r="G212" s="18"/>
      <c r="H212" s="18"/>
      <c r="I212" s="18"/>
      <c r="J212" s="18"/>
      <c r="K212" s="18"/>
      <c r="L212" s="12"/>
    </row>
    <row r="213" spans="2:12" x14ac:dyDescent="0.2">
      <c r="B213" s="26"/>
      <c r="C213" s="153"/>
      <c r="D213" s="26"/>
      <c r="E213" s="26"/>
      <c r="F213" s="26"/>
      <c r="G213" s="26"/>
      <c r="H213" s="26"/>
      <c r="I213" s="26"/>
      <c r="J213" s="26"/>
      <c r="K213" s="26"/>
      <c r="L213" s="12"/>
    </row>
    <row r="214" spans="2:12" x14ac:dyDescent="0.2">
      <c r="B214" s="12"/>
      <c r="C214" s="121"/>
      <c r="D214" s="12"/>
      <c r="E214" s="12"/>
      <c r="F214" s="12"/>
      <c r="G214" s="12"/>
      <c r="H214" s="12"/>
      <c r="L214" s="12"/>
    </row>
    <row r="215" spans="2:12" x14ac:dyDescent="0.2">
      <c r="B215" s="12"/>
      <c r="C215" s="121"/>
      <c r="D215" s="12"/>
      <c r="E215" s="12"/>
      <c r="F215" s="12"/>
      <c r="G215" s="12"/>
      <c r="H215" s="12"/>
    </row>
    <row r="216" spans="2:12" x14ac:dyDescent="0.2">
      <c r="B216" s="12"/>
      <c r="C216" s="121"/>
      <c r="D216" s="12"/>
      <c r="E216" s="12"/>
      <c r="F216" s="12"/>
      <c r="G216" s="12"/>
      <c r="H216" s="12"/>
    </row>
    <row r="217" spans="2:12" x14ac:dyDescent="0.2">
      <c r="B217" s="12"/>
      <c r="C217" s="121"/>
      <c r="D217" s="12"/>
      <c r="E217" s="12"/>
      <c r="F217" s="12"/>
      <c r="G217" s="12"/>
      <c r="H217" s="12"/>
    </row>
    <row r="218" spans="2:12" x14ac:dyDescent="0.2">
      <c r="B218" s="12"/>
      <c r="C218" s="121"/>
      <c r="D218" s="12"/>
      <c r="E218" s="12"/>
      <c r="F218" s="12"/>
      <c r="G218" s="12"/>
      <c r="H218" s="12"/>
    </row>
    <row r="219" spans="2:12" x14ac:dyDescent="0.2">
      <c r="B219" s="76"/>
      <c r="C219" s="154"/>
      <c r="D219" s="76"/>
      <c r="E219" s="76"/>
      <c r="F219" s="12"/>
      <c r="G219" s="12"/>
      <c r="H219" s="12"/>
    </row>
  </sheetData>
  <sheetProtection sheet="1" objects="1" scenarios="1"/>
  <mergeCells count="3">
    <mergeCell ref="I17:J17"/>
    <mergeCell ref="I18:J18"/>
    <mergeCell ref="I19:J19"/>
  </mergeCells>
  <phoneticPr fontId="2" type="noConversion"/>
  <printOptions horizontalCentered="1"/>
  <pageMargins left="0.59" right="0.59" top="1" bottom="1" header="0.5" footer="0.5"/>
  <pageSetup paperSize="10" scale="21" orientation="portrait" horizontalDpi="4294967292" verticalDpi="4294967292" r:id="rId1"/>
  <rowBreaks count="2" manualBreakCount="2">
    <brk id="166" max="16383" man="1"/>
    <brk id="2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Menu</vt:lpstr>
      <vt:lpstr>Projeções</vt:lpstr>
      <vt:lpstr>Projeções!Area_de_impressao</vt:lpstr>
      <vt:lpstr>Projeções!Titulos_de_impressao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2019-07-19T17:40:34Z</dcterms:created>
  <dcterms:modified xsi:type="dcterms:W3CDTF">2019-07-26T19:05:11Z</dcterms:modified>
  <cp:category/>
</cp:coreProperties>
</file>